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13_ncr:1_{2CD95AE8-C9DA-420A-8EED-2146E94E346A}" xr6:coauthVersionLast="47" xr6:coauthVersionMax="47" xr10:uidLastSave="{00000000-0000-0000-0000-000000000000}"/>
  <bookViews>
    <workbookView xWindow="2250" yWindow="2250" windowWidth="25365" windowHeight="12585" activeTab="2" xr2:uid="{00000000-000D-0000-FFFF-FFFF00000000}"/>
  </bookViews>
  <sheets>
    <sheet name="Bilan" sheetId="4" r:id="rId1"/>
    <sheet name="planning " sheetId="1" r:id="rId2"/>
    <sheet name="hs" sheetId="5" r:id="rId3"/>
    <sheet name="ref" sheetId="3" r:id="rId4"/>
  </sheets>
  <externalReferences>
    <externalReference r:id="rId5"/>
  </externalReferences>
  <definedNames>
    <definedName name="_xlnm._FilterDatabase" localSheetId="1" hidden="1">'planning '!$B$5:$F$11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  <definedName name="listeMois">[1]ref!$L$2:$M$13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5" l="1"/>
  <c r="J15" i="5"/>
  <c r="J16" i="5"/>
  <c r="J17" i="5"/>
  <c r="J18" i="5"/>
  <c r="J19" i="5"/>
  <c r="J20" i="5"/>
  <c r="D9" i="5"/>
  <c r="D10" i="5"/>
  <c r="J525" i="5" l="1"/>
  <c r="H525" i="5"/>
  <c r="B525" i="5"/>
  <c r="J524" i="5"/>
  <c r="H524" i="5"/>
  <c r="B524" i="5"/>
  <c r="J520" i="5"/>
  <c r="H520" i="5"/>
  <c r="B520" i="5"/>
  <c r="J519" i="5"/>
  <c r="H519" i="5"/>
  <c r="B519" i="5"/>
  <c r="J518" i="5"/>
  <c r="H518" i="5"/>
  <c r="B518" i="5"/>
  <c r="J517" i="5"/>
  <c r="H517" i="5"/>
  <c r="B517" i="5"/>
  <c r="J516" i="5"/>
  <c r="H516" i="5"/>
  <c r="B516" i="5"/>
  <c r="J515" i="5"/>
  <c r="H515" i="5"/>
  <c r="B515" i="5"/>
  <c r="J514" i="5"/>
  <c r="H514" i="5"/>
  <c r="B514" i="5"/>
  <c r="B504" i="5"/>
  <c r="H504" i="5"/>
  <c r="J504" i="5"/>
  <c r="B505" i="5"/>
  <c r="H505" i="5"/>
  <c r="J505" i="5"/>
  <c r="B506" i="5"/>
  <c r="H506" i="5"/>
  <c r="J506" i="5"/>
  <c r="B507" i="5"/>
  <c r="H507" i="5"/>
  <c r="J507" i="5"/>
  <c r="B508" i="5"/>
  <c r="H508" i="5"/>
  <c r="J508" i="5"/>
  <c r="B509" i="5"/>
  <c r="H509" i="5"/>
  <c r="J509" i="5"/>
  <c r="B510" i="5"/>
  <c r="H510" i="5"/>
  <c r="J510" i="5"/>
  <c r="J500" i="5"/>
  <c r="H500" i="5"/>
  <c r="B500" i="5"/>
  <c r="J499" i="5"/>
  <c r="H499" i="5"/>
  <c r="B499" i="5"/>
  <c r="J498" i="5"/>
  <c r="H498" i="5"/>
  <c r="B498" i="5"/>
  <c r="J497" i="5"/>
  <c r="H497" i="5"/>
  <c r="B497" i="5"/>
  <c r="J496" i="5"/>
  <c r="H496" i="5"/>
  <c r="B496" i="5"/>
  <c r="J495" i="5"/>
  <c r="H495" i="5"/>
  <c r="B495" i="5"/>
  <c r="J494" i="5"/>
  <c r="H494" i="5"/>
  <c r="B494" i="5"/>
  <c r="J490" i="5"/>
  <c r="H490" i="5"/>
  <c r="B490" i="5"/>
  <c r="J489" i="5"/>
  <c r="H489" i="5"/>
  <c r="B489" i="5"/>
  <c r="J488" i="5"/>
  <c r="H488" i="5"/>
  <c r="B488" i="5"/>
  <c r="J487" i="5"/>
  <c r="H487" i="5"/>
  <c r="B487" i="5"/>
  <c r="J486" i="5"/>
  <c r="H486" i="5"/>
  <c r="B486" i="5"/>
  <c r="J485" i="5"/>
  <c r="H485" i="5"/>
  <c r="B485" i="5"/>
  <c r="J484" i="5"/>
  <c r="H484" i="5"/>
  <c r="B484" i="5"/>
  <c r="J480" i="5"/>
  <c r="H480" i="5"/>
  <c r="B480" i="5"/>
  <c r="J479" i="5"/>
  <c r="H479" i="5"/>
  <c r="B479" i="5"/>
  <c r="J478" i="5"/>
  <c r="H478" i="5"/>
  <c r="B478" i="5"/>
  <c r="J477" i="5"/>
  <c r="H477" i="5"/>
  <c r="B477" i="5"/>
  <c r="J476" i="5"/>
  <c r="H476" i="5"/>
  <c r="B476" i="5"/>
  <c r="J475" i="5"/>
  <c r="H475" i="5"/>
  <c r="B475" i="5"/>
  <c r="J474" i="5"/>
  <c r="H474" i="5"/>
  <c r="B474" i="5"/>
  <c r="J470" i="5"/>
  <c r="H470" i="5"/>
  <c r="B470" i="5"/>
  <c r="J469" i="5"/>
  <c r="H469" i="5"/>
  <c r="B469" i="5"/>
  <c r="J468" i="5"/>
  <c r="H468" i="5"/>
  <c r="B468" i="5"/>
  <c r="J467" i="5"/>
  <c r="H467" i="5"/>
  <c r="B467" i="5"/>
  <c r="J466" i="5"/>
  <c r="H466" i="5"/>
  <c r="B466" i="5"/>
  <c r="J465" i="5"/>
  <c r="H465" i="5"/>
  <c r="B465" i="5"/>
  <c r="J464" i="5"/>
  <c r="H464" i="5"/>
  <c r="B464" i="5"/>
  <c r="J460" i="5"/>
  <c r="H460" i="5"/>
  <c r="B460" i="5"/>
  <c r="J459" i="5"/>
  <c r="H459" i="5"/>
  <c r="B459" i="5"/>
  <c r="J458" i="5"/>
  <c r="H458" i="5"/>
  <c r="B458" i="5"/>
  <c r="J457" i="5"/>
  <c r="H457" i="5"/>
  <c r="B457" i="5"/>
  <c r="J456" i="5"/>
  <c r="H456" i="5"/>
  <c r="B456" i="5"/>
  <c r="J455" i="5"/>
  <c r="H455" i="5"/>
  <c r="B455" i="5"/>
  <c r="J454" i="5"/>
  <c r="H454" i="5"/>
  <c r="B454" i="5"/>
  <c r="J450" i="5"/>
  <c r="H450" i="5"/>
  <c r="B450" i="5"/>
  <c r="J449" i="5"/>
  <c r="H449" i="5"/>
  <c r="B449" i="5"/>
  <c r="J448" i="5"/>
  <c r="H448" i="5"/>
  <c r="B448" i="5"/>
  <c r="J447" i="5"/>
  <c r="H447" i="5"/>
  <c r="B447" i="5"/>
  <c r="J446" i="5"/>
  <c r="H446" i="5"/>
  <c r="B446" i="5"/>
  <c r="J445" i="5"/>
  <c r="H445" i="5"/>
  <c r="B445" i="5"/>
  <c r="J444" i="5"/>
  <c r="H444" i="5"/>
  <c r="B444" i="5"/>
  <c r="J440" i="5"/>
  <c r="H440" i="5"/>
  <c r="B440" i="5"/>
  <c r="J439" i="5"/>
  <c r="H439" i="5"/>
  <c r="B439" i="5"/>
  <c r="J438" i="5"/>
  <c r="H438" i="5"/>
  <c r="B438" i="5"/>
  <c r="J437" i="5"/>
  <c r="H437" i="5"/>
  <c r="B437" i="5"/>
  <c r="J436" i="5"/>
  <c r="H436" i="5"/>
  <c r="B436" i="5"/>
  <c r="J435" i="5"/>
  <c r="H435" i="5"/>
  <c r="B435" i="5"/>
  <c r="J434" i="5"/>
  <c r="H434" i="5"/>
  <c r="B434" i="5"/>
  <c r="J430" i="5"/>
  <c r="H430" i="5"/>
  <c r="B430" i="5"/>
  <c r="J429" i="5"/>
  <c r="H429" i="5"/>
  <c r="B429" i="5"/>
  <c r="J428" i="5"/>
  <c r="H428" i="5"/>
  <c r="B428" i="5"/>
  <c r="J427" i="5"/>
  <c r="H427" i="5"/>
  <c r="B427" i="5"/>
  <c r="J426" i="5"/>
  <c r="H426" i="5"/>
  <c r="B426" i="5"/>
  <c r="J425" i="5"/>
  <c r="H425" i="5"/>
  <c r="B425" i="5"/>
  <c r="J424" i="5"/>
  <c r="H424" i="5"/>
  <c r="B424" i="5"/>
  <c r="J420" i="5"/>
  <c r="H420" i="5"/>
  <c r="B420" i="5"/>
  <c r="J419" i="5"/>
  <c r="H419" i="5"/>
  <c r="B419" i="5"/>
  <c r="J418" i="5"/>
  <c r="H418" i="5"/>
  <c r="B418" i="5"/>
  <c r="J417" i="5"/>
  <c r="H417" i="5"/>
  <c r="B417" i="5"/>
  <c r="J416" i="5"/>
  <c r="H416" i="5"/>
  <c r="B416" i="5"/>
  <c r="J415" i="5"/>
  <c r="H415" i="5"/>
  <c r="B415" i="5"/>
  <c r="J414" i="5"/>
  <c r="H414" i="5"/>
  <c r="B414" i="5"/>
  <c r="J410" i="5"/>
  <c r="H410" i="5"/>
  <c r="B410" i="5"/>
  <c r="J409" i="5"/>
  <c r="H409" i="5"/>
  <c r="B409" i="5"/>
  <c r="J408" i="5"/>
  <c r="H408" i="5"/>
  <c r="B408" i="5"/>
  <c r="J407" i="5"/>
  <c r="H407" i="5"/>
  <c r="B407" i="5"/>
  <c r="J406" i="5"/>
  <c r="H406" i="5"/>
  <c r="B406" i="5"/>
  <c r="J405" i="5"/>
  <c r="H405" i="5"/>
  <c r="B405" i="5"/>
  <c r="J404" i="5"/>
  <c r="H404" i="5"/>
  <c r="B404" i="5"/>
  <c r="J400" i="5"/>
  <c r="H400" i="5"/>
  <c r="B400" i="5"/>
  <c r="J399" i="5"/>
  <c r="H399" i="5"/>
  <c r="B399" i="5"/>
  <c r="J398" i="5"/>
  <c r="H398" i="5"/>
  <c r="B398" i="5"/>
  <c r="J397" i="5"/>
  <c r="H397" i="5"/>
  <c r="B397" i="5"/>
  <c r="J396" i="5"/>
  <c r="H396" i="5"/>
  <c r="B396" i="5"/>
  <c r="J395" i="5"/>
  <c r="H395" i="5"/>
  <c r="B395" i="5"/>
  <c r="J394" i="5"/>
  <c r="H394" i="5"/>
  <c r="B394" i="5"/>
  <c r="J390" i="5"/>
  <c r="H390" i="5"/>
  <c r="B390" i="5"/>
  <c r="J389" i="5"/>
  <c r="H389" i="5"/>
  <c r="B389" i="5"/>
  <c r="J388" i="5"/>
  <c r="H388" i="5"/>
  <c r="B388" i="5"/>
  <c r="J387" i="5"/>
  <c r="H387" i="5"/>
  <c r="B387" i="5"/>
  <c r="J386" i="5"/>
  <c r="H386" i="5"/>
  <c r="B386" i="5"/>
  <c r="J385" i="5"/>
  <c r="H385" i="5"/>
  <c r="B385" i="5"/>
  <c r="J384" i="5"/>
  <c r="H384" i="5"/>
  <c r="B384" i="5"/>
  <c r="J380" i="5"/>
  <c r="H380" i="5"/>
  <c r="B380" i="5"/>
  <c r="J379" i="5"/>
  <c r="H379" i="5"/>
  <c r="B379" i="5"/>
  <c r="J378" i="5"/>
  <c r="H378" i="5"/>
  <c r="B378" i="5"/>
  <c r="J377" i="5"/>
  <c r="H377" i="5"/>
  <c r="B377" i="5"/>
  <c r="J376" i="5"/>
  <c r="H376" i="5"/>
  <c r="B376" i="5"/>
  <c r="J375" i="5"/>
  <c r="H375" i="5"/>
  <c r="B375" i="5"/>
  <c r="J374" i="5"/>
  <c r="H374" i="5"/>
  <c r="B374" i="5"/>
  <c r="J370" i="5"/>
  <c r="H370" i="5"/>
  <c r="B370" i="5"/>
  <c r="J369" i="5"/>
  <c r="H369" i="5"/>
  <c r="B369" i="5"/>
  <c r="J368" i="5"/>
  <c r="H368" i="5"/>
  <c r="B368" i="5"/>
  <c r="J367" i="5"/>
  <c r="H367" i="5"/>
  <c r="B367" i="5"/>
  <c r="J366" i="5"/>
  <c r="H366" i="5"/>
  <c r="B366" i="5"/>
  <c r="J365" i="5"/>
  <c r="H365" i="5"/>
  <c r="B365" i="5"/>
  <c r="J364" i="5"/>
  <c r="H364" i="5"/>
  <c r="B364" i="5"/>
  <c r="J360" i="5"/>
  <c r="H360" i="5"/>
  <c r="B360" i="5"/>
  <c r="J359" i="5"/>
  <c r="H359" i="5"/>
  <c r="B359" i="5"/>
  <c r="J358" i="5"/>
  <c r="H358" i="5"/>
  <c r="B358" i="5"/>
  <c r="J357" i="5"/>
  <c r="H357" i="5"/>
  <c r="B357" i="5"/>
  <c r="J356" i="5"/>
  <c r="H356" i="5"/>
  <c r="B356" i="5"/>
  <c r="J355" i="5"/>
  <c r="H355" i="5"/>
  <c r="B355" i="5"/>
  <c r="J354" i="5"/>
  <c r="H354" i="5"/>
  <c r="B354" i="5"/>
  <c r="J350" i="5"/>
  <c r="H350" i="5"/>
  <c r="B350" i="5"/>
  <c r="J349" i="5"/>
  <c r="H349" i="5"/>
  <c r="B349" i="5"/>
  <c r="J348" i="5"/>
  <c r="H348" i="5"/>
  <c r="B348" i="5"/>
  <c r="J347" i="5"/>
  <c r="H347" i="5"/>
  <c r="B347" i="5"/>
  <c r="J346" i="5"/>
  <c r="H346" i="5"/>
  <c r="B346" i="5"/>
  <c r="J345" i="5"/>
  <c r="H345" i="5"/>
  <c r="B345" i="5"/>
  <c r="J344" i="5"/>
  <c r="H344" i="5"/>
  <c r="B344" i="5"/>
  <c r="J340" i="5"/>
  <c r="H340" i="5"/>
  <c r="B340" i="5"/>
  <c r="J339" i="5"/>
  <c r="H339" i="5"/>
  <c r="B339" i="5"/>
  <c r="J338" i="5"/>
  <c r="H338" i="5"/>
  <c r="B338" i="5"/>
  <c r="J337" i="5"/>
  <c r="H337" i="5"/>
  <c r="B337" i="5"/>
  <c r="J336" i="5"/>
  <c r="H336" i="5"/>
  <c r="B336" i="5"/>
  <c r="J335" i="5"/>
  <c r="H335" i="5"/>
  <c r="B335" i="5"/>
  <c r="J334" i="5"/>
  <c r="H334" i="5"/>
  <c r="B334" i="5"/>
  <c r="J330" i="5"/>
  <c r="H330" i="5"/>
  <c r="B330" i="5"/>
  <c r="J329" i="5"/>
  <c r="H329" i="5"/>
  <c r="B329" i="5"/>
  <c r="J328" i="5"/>
  <c r="H328" i="5"/>
  <c r="B328" i="5"/>
  <c r="J327" i="5"/>
  <c r="H327" i="5"/>
  <c r="B327" i="5"/>
  <c r="J326" i="5"/>
  <c r="H326" i="5"/>
  <c r="B326" i="5"/>
  <c r="J325" i="5"/>
  <c r="H325" i="5"/>
  <c r="B325" i="5"/>
  <c r="J324" i="5"/>
  <c r="H324" i="5"/>
  <c r="B324" i="5"/>
  <c r="J320" i="5"/>
  <c r="H320" i="5"/>
  <c r="B320" i="5"/>
  <c r="J319" i="5"/>
  <c r="H319" i="5"/>
  <c r="B319" i="5"/>
  <c r="J318" i="5"/>
  <c r="H318" i="5"/>
  <c r="B318" i="5"/>
  <c r="J317" i="5"/>
  <c r="H317" i="5"/>
  <c r="B317" i="5"/>
  <c r="J316" i="5"/>
  <c r="H316" i="5"/>
  <c r="B316" i="5"/>
  <c r="J315" i="5"/>
  <c r="H315" i="5"/>
  <c r="B315" i="5"/>
  <c r="J314" i="5"/>
  <c r="H314" i="5"/>
  <c r="B314" i="5"/>
  <c r="J310" i="5"/>
  <c r="H310" i="5"/>
  <c r="B310" i="5"/>
  <c r="J309" i="5"/>
  <c r="H309" i="5"/>
  <c r="B309" i="5"/>
  <c r="J308" i="5"/>
  <c r="H308" i="5"/>
  <c r="B308" i="5"/>
  <c r="J307" i="5"/>
  <c r="H307" i="5"/>
  <c r="B307" i="5"/>
  <c r="J306" i="5"/>
  <c r="H306" i="5"/>
  <c r="B306" i="5"/>
  <c r="J305" i="5"/>
  <c r="H305" i="5"/>
  <c r="B305" i="5"/>
  <c r="J304" i="5"/>
  <c r="H304" i="5"/>
  <c r="B304" i="5"/>
  <c r="J300" i="5"/>
  <c r="H300" i="5"/>
  <c r="B300" i="5"/>
  <c r="J299" i="5"/>
  <c r="H299" i="5"/>
  <c r="B299" i="5"/>
  <c r="J298" i="5"/>
  <c r="H298" i="5"/>
  <c r="B298" i="5"/>
  <c r="J297" i="5"/>
  <c r="H297" i="5"/>
  <c r="B297" i="5"/>
  <c r="J296" i="5"/>
  <c r="H296" i="5"/>
  <c r="B296" i="5"/>
  <c r="J295" i="5"/>
  <c r="H295" i="5"/>
  <c r="B295" i="5"/>
  <c r="J294" i="5"/>
  <c r="H294" i="5"/>
  <c r="B294" i="5"/>
  <c r="J290" i="5"/>
  <c r="H290" i="5"/>
  <c r="B290" i="5"/>
  <c r="J289" i="5"/>
  <c r="H289" i="5"/>
  <c r="B289" i="5"/>
  <c r="J288" i="5"/>
  <c r="H288" i="5"/>
  <c r="B288" i="5"/>
  <c r="J287" i="5"/>
  <c r="H287" i="5"/>
  <c r="B287" i="5"/>
  <c r="J286" i="5"/>
  <c r="H286" i="5"/>
  <c r="B286" i="5"/>
  <c r="J285" i="5"/>
  <c r="H285" i="5"/>
  <c r="B285" i="5"/>
  <c r="J284" i="5"/>
  <c r="H284" i="5"/>
  <c r="B284" i="5"/>
  <c r="J280" i="5"/>
  <c r="H280" i="5"/>
  <c r="B280" i="5"/>
  <c r="J279" i="5"/>
  <c r="H279" i="5"/>
  <c r="B279" i="5"/>
  <c r="J278" i="5"/>
  <c r="H278" i="5"/>
  <c r="B278" i="5"/>
  <c r="J277" i="5"/>
  <c r="H277" i="5"/>
  <c r="B277" i="5"/>
  <c r="J276" i="5"/>
  <c r="H276" i="5"/>
  <c r="B276" i="5"/>
  <c r="J275" i="5"/>
  <c r="H275" i="5"/>
  <c r="B275" i="5"/>
  <c r="J274" i="5"/>
  <c r="H274" i="5"/>
  <c r="B274" i="5"/>
  <c r="J270" i="5"/>
  <c r="H270" i="5"/>
  <c r="B270" i="5"/>
  <c r="J269" i="5"/>
  <c r="H269" i="5"/>
  <c r="B269" i="5"/>
  <c r="J268" i="5"/>
  <c r="H268" i="5"/>
  <c r="B268" i="5"/>
  <c r="J267" i="5"/>
  <c r="H267" i="5"/>
  <c r="B267" i="5"/>
  <c r="J266" i="5"/>
  <c r="H266" i="5"/>
  <c r="B266" i="5"/>
  <c r="J265" i="5"/>
  <c r="H265" i="5"/>
  <c r="B265" i="5"/>
  <c r="J264" i="5"/>
  <c r="H264" i="5"/>
  <c r="B264" i="5"/>
  <c r="J260" i="5"/>
  <c r="H260" i="5"/>
  <c r="B260" i="5"/>
  <c r="J259" i="5"/>
  <c r="H259" i="5"/>
  <c r="B259" i="5"/>
  <c r="J258" i="5"/>
  <c r="H258" i="5"/>
  <c r="B258" i="5"/>
  <c r="J257" i="5"/>
  <c r="H257" i="5"/>
  <c r="B257" i="5"/>
  <c r="J256" i="5"/>
  <c r="H256" i="5"/>
  <c r="B256" i="5"/>
  <c r="J255" i="5"/>
  <c r="H255" i="5"/>
  <c r="B255" i="5"/>
  <c r="J254" i="5"/>
  <c r="H254" i="5"/>
  <c r="B254" i="5"/>
  <c r="J250" i="5"/>
  <c r="H250" i="5"/>
  <c r="B250" i="5"/>
  <c r="J249" i="5"/>
  <c r="H249" i="5"/>
  <c r="B249" i="5"/>
  <c r="J248" i="5"/>
  <c r="H248" i="5"/>
  <c r="B248" i="5"/>
  <c r="J247" i="5"/>
  <c r="H247" i="5"/>
  <c r="B247" i="5"/>
  <c r="J246" i="5"/>
  <c r="H246" i="5"/>
  <c r="B246" i="5"/>
  <c r="J245" i="5"/>
  <c r="H245" i="5"/>
  <c r="B245" i="5"/>
  <c r="J244" i="5"/>
  <c r="H244" i="5"/>
  <c r="B244" i="5"/>
  <c r="J240" i="5"/>
  <c r="H240" i="5"/>
  <c r="B240" i="5"/>
  <c r="J239" i="5"/>
  <c r="H239" i="5"/>
  <c r="B239" i="5"/>
  <c r="J238" i="5"/>
  <c r="H238" i="5"/>
  <c r="B238" i="5"/>
  <c r="J237" i="5"/>
  <c r="H237" i="5"/>
  <c r="B237" i="5"/>
  <c r="J236" i="5"/>
  <c r="H236" i="5"/>
  <c r="B236" i="5"/>
  <c r="J235" i="5"/>
  <c r="H235" i="5"/>
  <c r="B235" i="5"/>
  <c r="J234" i="5"/>
  <c r="H234" i="5"/>
  <c r="B234" i="5"/>
  <c r="J230" i="5"/>
  <c r="H230" i="5"/>
  <c r="B230" i="5"/>
  <c r="J229" i="5"/>
  <c r="H229" i="5"/>
  <c r="B229" i="5"/>
  <c r="J228" i="5"/>
  <c r="H228" i="5"/>
  <c r="B228" i="5"/>
  <c r="J227" i="5"/>
  <c r="H227" i="5"/>
  <c r="B227" i="5"/>
  <c r="J226" i="5"/>
  <c r="H226" i="5"/>
  <c r="B226" i="5"/>
  <c r="J225" i="5"/>
  <c r="H225" i="5"/>
  <c r="B225" i="5"/>
  <c r="J224" i="5"/>
  <c r="H224" i="5"/>
  <c r="B224" i="5"/>
  <c r="J220" i="5"/>
  <c r="H220" i="5"/>
  <c r="B220" i="5"/>
  <c r="J219" i="5"/>
  <c r="H219" i="5"/>
  <c r="B219" i="5"/>
  <c r="J218" i="5"/>
  <c r="H218" i="5"/>
  <c r="B218" i="5"/>
  <c r="J217" i="5"/>
  <c r="H217" i="5"/>
  <c r="B217" i="5"/>
  <c r="J216" i="5"/>
  <c r="H216" i="5"/>
  <c r="B216" i="5"/>
  <c r="J215" i="5"/>
  <c r="H215" i="5"/>
  <c r="B215" i="5"/>
  <c r="J214" i="5"/>
  <c r="H214" i="5"/>
  <c r="B214" i="5"/>
  <c r="J210" i="5"/>
  <c r="H210" i="5"/>
  <c r="B210" i="5"/>
  <c r="J209" i="5"/>
  <c r="H209" i="5"/>
  <c r="B209" i="5"/>
  <c r="J208" i="5"/>
  <c r="H208" i="5"/>
  <c r="B208" i="5"/>
  <c r="J207" i="5"/>
  <c r="H207" i="5"/>
  <c r="B207" i="5"/>
  <c r="J206" i="5"/>
  <c r="H206" i="5"/>
  <c r="B206" i="5"/>
  <c r="J205" i="5"/>
  <c r="H205" i="5"/>
  <c r="B205" i="5"/>
  <c r="J204" i="5"/>
  <c r="H204" i="5"/>
  <c r="B204" i="5"/>
  <c r="J200" i="5"/>
  <c r="H200" i="5"/>
  <c r="B200" i="5"/>
  <c r="J199" i="5"/>
  <c r="H199" i="5"/>
  <c r="B199" i="5"/>
  <c r="J198" i="5"/>
  <c r="H198" i="5"/>
  <c r="B198" i="5"/>
  <c r="J197" i="5"/>
  <c r="H197" i="5"/>
  <c r="B197" i="5"/>
  <c r="J196" i="5"/>
  <c r="H196" i="5"/>
  <c r="B196" i="5"/>
  <c r="J195" i="5"/>
  <c r="H195" i="5"/>
  <c r="B195" i="5"/>
  <c r="J194" i="5"/>
  <c r="H194" i="5"/>
  <c r="B194" i="5"/>
  <c r="J190" i="5"/>
  <c r="H190" i="5"/>
  <c r="B190" i="5"/>
  <c r="J189" i="5"/>
  <c r="H189" i="5"/>
  <c r="B189" i="5"/>
  <c r="J188" i="5"/>
  <c r="H188" i="5"/>
  <c r="B188" i="5"/>
  <c r="J187" i="5"/>
  <c r="H187" i="5"/>
  <c r="B187" i="5"/>
  <c r="J186" i="5"/>
  <c r="H186" i="5"/>
  <c r="B186" i="5"/>
  <c r="J185" i="5"/>
  <c r="H185" i="5"/>
  <c r="B185" i="5"/>
  <c r="J184" i="5"/>
  <c r="H184" i="5"/>
  <c r="B184" i="5"/>
  <c r="J180" i="5"/>
  <c r="H180" i="5"/>
  <c r="B180" i="5"/>
  <c r="J179" i="5"/>
  <c r="H179" i="5"/>
  <c r="B179" i="5"/>
  <c r="J178" i="5"/>
  <c r="H178" i="5"/>
  <c r="B178" i="5"/>
  <c r="J177" i="5"/>
  <c r="H177" i="5"/>
  <c r="B177" i="5"/>
  <c r="J176" i="5"/>
  <c r="H176" i="5"/>
  <c r="B176" i="5"/>
  <c r="J175" i="5"/>
  <c r="H175" i="5"/>
  <c r="B175" i="5"/>
  <c r="J174" i="5"/>
  <c r="H174" i="5"/>
  <c r="B174" i="5"/>
  <c r="J170" i="5"/>
  <c r="H170" i="5"/>
  <c r="B170" i="5"/>
  <c r="J169" i="5"/>
  <c r="H169" i="5"/>
  <c r="B169" i="5"/>
  <c r="J168" i="5"/>
  <c r="H168" i="5"/>
  <c r="B168" i="5"/>
  <c r="J167" i="5"/>
  <c r="H167" i="5"/>
  <c r="B167" i="5"/>
  <c r="J166" i="5"/>
  <c r="H166" i="5"/>
  <c r="B166" i="5"/>
  <c r="J165" i="5"/>
  <c r="H165" i="5"/>
  <c r="B165" i="5"/>
  <c r="J164" i="5"/>
  <c r="H164" i="5"/>
  <c r="B164" i="5"/>
  <c r="J160" i="5"/>
  <c r="H160" i="5"/>
  <c r="D160" i="5"/>
  <c r="B160" i="5"/>
  <c r="J159" i="5"/>
  <c r="H159" i="5"/>
  <c r="D159" i="5"/>
  <c r="B159" i="5"/>
  <c r="J158" i="5"/>
  <c r="H158" i="5"/>
  <c r="B158" i="5"/>
  <c r="J157" i="5"/>
  <c r="H157" i="5"/>
  <c r="B157" i="5"/>
  <c r="J156" i="5"/>
  <c r="H156" i="5"/>
  <c r="B156" i="5"/>
  <c r="J155" i="5"/>
  <c r="H155" i="5"/>
  <c r="B155" i="5"/>
  <c r="J154" i="5"/>
  <c r="H154" i="5"/>
  <c r="B154" i="5"/>
  <c r="J150" i="5"/>
  <c r="H150" i="5"/>
  <c r="B150" i="5"/>
  <c r="J149" i="5"/>
  <c r="H149" i="5"/>
  <c r="B149" i="5"/>
  <c r="J148" i="5"/>
  <c r="H148" i="5"/>
  <c r="B148" i="5"/>
  <c r="J147" i="5"/>
  <c r="H147" i="5"/>
  <c r="B147" i="5"/>
  <c r="J146" i="5"/>
  <c r="H146" i="5"/>
  <c r="B146" i="5"/>
  <c r="J145" i="5"/>
  <c r="H145" i="5"/>
  <c r="B145" i="5"/>
  <c r="J144" i="5"/>
  <c r="H144" i="5"/>
  <c r="B144" i="5"/>
  <c r="J140" i="5"/>
  <c r="H140" i="5"/>
  <c r="B140" i="5"/>
  <c r="J139" i="5"/>
  <c r="H139" i="5"/>
  <c r="B139" i="5"/>
  <c r="J138" i="5"/>
  <c r="H138" i="5"/>
  <c r="B138" i="5"/>
  <c r="J137" i="5"/>
  <c r="H137" i="5"/>
  <c r="B137" i="5"/>
  <c r="J136" i="5"/>
  <c r="H136" i="5"/>
  <c r="B136" i="5"/>
  <c r="J135" i="5"/>
  <c r="H135" i="5"/>
  <c r="B135" i="5"/>
  <c r="J134" i="5"/>
  <c r="H134" i="5"/>
  <c r="B134" i="5"/>
  <c r="J130" i="5"/>
  <c r="H130" i="5"/>
  <c r="B130" i="5"/>
  <c r="J129" i="5"/>
  <c r="H129" i="5"/>
  <c r="B129" i="5"/>
  <c r="J128" i="5"/>
  <c r="H128" i="5"/>
  <c r="B128" i="5"/>
  <c r="J127" i="5"/>
  <c r="H127" i="5"/>
  <c r="B127" i="5"/>
  <c r="J126" i="5"/>
  <c r="H126" i="5"/>
  <c r="B126" i="5"/>
  <c r="J125" i="5"/>
  <c r="H125" i="5"/>
  <c r="B125" i="5"/>
  <c r="J124" i="5"/>
  <c r="H124" i="5"/>
  <c r="B124" i="5"/>
  <c r="J120" i="5"/>
  <c r="H120" i="5"/>
  <c r="B120" i="5"/>
  <c r="J119" i="5"/>
  <c r="H119" i="5"/>
  <c r="B119" i="5"/>
  <c r="J118" i="5"/>
  <c r="H118" i="5"/>
  <c r="B118" i="5"/>
  <c r="J117" i="5"/>
  <c r="H117" i="5"/>
  <c r="B117" i="5"/>
  <c r="J116" i="5"/>
  <c r="H116" i="5"/>
  <c r="B116" i="5"/>
  <c r="J115" i="5"/>
  <c r="H115" i="5"/>
  <c r="B115" i="5"/>
  <c r="J114" i="5"/>
  <c r="H114" i="5"/>
  <c r="B114" i="5"/>
  <c r="J110" i="5"/>
  <c r="H110" i="5"/>
  <c r="B110" i="5"/>
  <c r="J109" i="5"/>
  <c r="H109" i="5"/>
  <c r="B109" i="5"/>
  <c r="J108" i="5"/>
  <c r="H108" i="5"/>
  <c r="B108" i="5"/>
  <c r="J107" i="5"/>
  <c r="H107" i="5"/>
  <c r="B107" i="5"/>
  <c r="J106" i="5"/>
  <c r="H106" i="5"/>
  <c r="B106" i="5"/>
  <c r="J105" i="5"/>
  <c r="H105" i="5"/>
  <c r="B105" i="5"/>
  <c r="J104" i="5"/>
  <c r="H104" i="5"/>
  <c r="B104" i="5"/>
  <c r="J100" i="5"/>
  <c r="H100" i="5"/>
  <c r="B100" i="5"/>
  <c r="J99" i="5"/>
  <c r="H99" i="5"/>
  <c r="B99" i="5"/>
  <c r="J98" i="5"/>
  <c r="H98" i="5"/>
  <c r="B98" i="5"/>
  <c r="J97" i="5"/>
  <c r="H97" i="5"/>
  <c r="B97" i="5"/>
  <c r="J96" i="5"/>
  <c r="H96" i="5"/>
  <c r="B96" i="5"/>
  <c r="J95" i="5"/>
  <c r="H95" i="5"/>
  <c r="B95" i="5"/>
  <c r="J94" i="5"/>
  <c r="H94" i="5"/>
  <c r="B94" i="5"/>
  <c r="J90" i="5"/>
  <c r="H90" i="5"/>
  <c r="B90" i="5"/>
  <c r="J89" i="5"/>
  <c r="H89" i="5"/>
  <c r="B89" i="5"/>
  <c r="J88" i="5"/>
  <c r="H88" i="5"/>
  <c r="B88" i="5"/>
  <c r="J87" i="5"/>
  <c r="H87" i="5"/>
  <c r="B87" i="5"/>
  <c r="J86" i="5"/>
  <c r="H86" i="5"/>
  <c r="B86" i="5"/>
  <c r="J85" i="5"/>
  <c r="H85" i="5"/>
  <c r="B85" i="5"/>
  <c r="J84" i="5"/>
  <c r="H84" i="5"/>
  <c r="B84" i="5"/>
  <c r="J80" i="5"/>
  <c r="H80" i="5"/>
  <c r="B80" i="5"/>
  <c r="J79" i="5"/>
  <c r="H79" i="5"/>
  <c r="B79" i="5"/>
  <c r="J78" i="5"/>
  <c r="H78" i="5"/>
  <c r="B78" i="5"/>
  <c r="J77" i="5"/>
  <c r="H77" i="5"/>
  <c r="B77" i="5"/>
  <c r="J76" i="5"/>
  <c r="H76" i="5"/>
  <c r="B76" i="5"/>
  <c r="J75" i="5"/>
  <c r="H75" i="5"/>
  <c r="B75" i="5"/>
  <c r="J74" i="5"/>
  <c r="H74" i="5"/>
  <c r="B74" i="5"/>
  <c r="J70" i="5"/>
  <c r="H70" i="5"/>
  <c r="B70" i="5"/>
  <c r="J69" i="5"/>
  <c r="H69" i="5"/>
  <c r="B69" i="5"/>
  <c r="J68" i="5"/>
  <c r="H68" i="5"/>
  <c r="B68" i="5"/>
  <c r="J67" i="5"/>
  <c r="H67" i="5"/>
  <c r="B67" i="5"/>
  <c r="J66" i="5"/>
  <c r="H66" i="5"/>
  <c r="B66" i="5"/>
  <c r="J65" i="5"/>
  <c r="H65" i="5"/>
  <c r="B65" i="5"/>
  <c r="J64" i="5"/>
  <c r="H64" i="5"/>
  <c r="B64" i="5"/>
  <c r="J60" i="5"/>
  <c r="H60" i="5"/>
  <c r="B60" i="5"/>
  <c r="J59" i="5"/>
  <c r="H59" i="5"/>
  <c r="B59" i="5"/>
  <c r="J58" i="5"/>
  <c r="H58" i="5"/>
  <c r="B58" i="5"/>
  <c r="J57" i="5"/>
  <c r="H57" i="5"/>
  <c r="B57" i="5"/>
  <c r="J56" i="5"/>
  <c r="H56" i="5"/>
  <c r="B56" i="5"/>
  <c r="J55" i="5"/>
  <c r="H55" i="5"/>
  <c r="B55" i="5"/>
  <c r="J54" i="5"/>
  <c r="H54" i="5"/>
  <c r="B54" i="5"/>
  <c r="J50" i="5"/>
  <c r="H50" i="5"/>
  <c r="B50" i="5"/>
  <c r="J49" i="5"/>
  <c r="H49" i="5"/>
  <c r="B49" i="5"/>
  <c r="J48" i="5"/>
  <c r="H48" i="5"/>
  <c r="B48" i="5"/>
  <c r="J47" i="5"/>
  <c r="H47" i="5"/>
  <c r="B47" i="5"/>
  <c r="J46" i="5"/>
  <c r="H46" i="5"/>
  <c r="B46" i="5"/>
  <c r="J45" i="5"/>
  <c r="H45" i="5"/>
  <c r="B45" i="5"/>
  <c r="J44" i="5"/>
  <c r="H44" i="5"/>
  <c r="B44" i="5"/>
  <c r="J40" i="5"/>
  <c r="H40" i="5"/>
  <c r="B40" i="5"/>
  <c r="J39" i="5"/>
  <c r="H39" i="5"/>
  <c r="B39" i="5"/>
  <c r="J38" i="5"/>
  <c r="H38" i="5"/>
  <c r="B38" i="5"/>
  <c r="J37" i="5"/>
  <c r="H37" i="5"/>
  <c r="B37" i="5"/>
  <c r="J36" i="5"/>
  <c r="H36" i="5"/>
  <c r="B36" i="5"/>
  <c r="J35" i="5"/>
  <c r="H35" i="5"/>
  <c r="B35" i="5"/>
  <c r="J34" i="5"/>
  <c r="H34" i="5"/>
  <c r="B34" i="5"/>
  <c r="J30" i="5"/>
  <c r="H30" i="5"/>
  <c r="B30" i="5"/>
  <c r="J29" i="5"/>
  <c r="H29" i="5"/>
  <c r="B29" i="5"/>
  <c r="J28" i="5"/>
  <c r="H28" i="5"/>
  <c r="B28" i="5"/>
  <c r="J27" i="5"/>
  <c r="H27" i="5"/>
  <c r="B27" i="5"/>
  <c r="J26" i="5"/>
  <c r="H26" i="5"/>
  <c r="B26" i="5"/>
  <c r="J25" i="5"/>
  <c r="H25" i="5"/>
  <c r="B25" i="5"/>
  <c r="J24" i="5"/>
  <c r="H24" i="5"/>
  <c r="B24" i="5"/>
  <c r="H20" i="5"/>
  <c r="B20" i="5"/>
  <c r="H19" i="5"/>
  <c r="B19" i="5"/>
  <c r="H18" i="5"/>
  <c r="B18" i="5"/>
  <c r="H17" i="5"/>
  <c r="B17" i="5"/>
  <c r="H16" i="5"/>
  <c r="B16" i="5"/>
  <c r="H15" i="5"/>
  <c r="B15" i="5"/>
  <c r="H14" i="5"/>
  <c r="B14" i="5"/>
  <c r="B5" i="5"/>
  <c r="B6" i="5"/>
  <c r="B7" i="5"/>
  <c r="B8" i="5"/>
  <c r="B9" i="5"/>
  <c r="B10" i="5"/>
  <c r="B4" i="5"/>
  <c r="J10" i="5"/>
  <c r="H10" i="5"/>
  <c r="J9" i="5"/>
  <c r="H9" i="5"/>
  <c r="J8" i="5"/>
  <c r="H8" i="5"/>
  <c r="J7" i="5"/>
  <c r="H7" i="5"/>
  <c r="J6" i="5"/>
  <c r="H6" i="5"/>
  <c r="J5" i="5"/>
  <c r="H5" i="5"/>
  <c r="J4" i="5"/>
  <c r="H4" i="5"/>
  <c r="E5" i="1"/>
  <c r="E6" i="1" s="1"/>
  <c r="V5" i="4"/>
  <c r="V4" i="4"/>
  <c r="L16" i="4"/>
  <c r="L15" i="4"/>
  <c r="L14" i="4"/>
  <c r="L13" i="4"/>
  <c r="L12" i="4"/>
  <c r="L11" i="4"/>
  <c r="L10" i="4"/>
  <c r="L9" i="4"/>
  <c r="L8" i="4"/>
  <c r="L7" i="4"/>
  <c r="L6" i="4"/>
  <c r="L5" i="4"/>
  <c r="L148" i="1"/>
  <c r="C4" i="5" l="1"/>
  <c r="C5" i="5" s="1"/>
  <c r="C6" i="5" s="1"/>
  <c r="C7" i="5" s="1"/>
  <c r="C8" i="5" s="1"/>
  <c r="C9" i="5" s="1"/>
  <c r="C10" i="5" s="1"/>
  <c r="AA531" i="1"/>
  <c r="AA530" i="1"/>
  <c r="AA529" i="1"/>
  <c r="AA528" i="1"/>
  <c r="AA527" i="1"/>
  <c r="AA526" i="1"/>
  <c r="F525" i="5" s="1"/>
  <c r="AA525" i="1"/>
  <c r="F524" i="5" s="1"/>
  <c r="AA521" i="1"/>
  <c r="F520" i="5" s="1"/>
  <c r="AA520" i="1"/>
  <c r="F519" i="5" s="1"/>
  <c r="AA519" i="1"/>
  <c r="F518" i="5" s="1"/>
  <c r="AA518" i="1"/>
  <c r="F517" i="5" s="1"/>
  <c r="AA517" i="1"/>
  <c r="F516" i="5" s="1"/>
  <c r="AA516" i="1"/>
  <c r="F515" i="5" s="1"/>
  <c r="AA515" i="1"/>
  <c r="F514" i="5" s="1"/>
  <c r="AA511" i="1"/>
  <c r="F510" i="5" s="1"/>
  <c r="AA510" i="1"/>
  <c r="F509" i="5" s="1"/>
  <c r="AA509" i="1"/>
  <c r="F508" i="5" s="1"/>
  <c r="AA508" i="1"/>
  <c r="F507" i="5" s="1"/>
  <c r="AA507" i="1"/>
  <c r="F506" i="5" s="1"/>
  <c r="AA506" i="1"/>
  <c r="F505" i="5" s="1"/>
  <c r="AA505" i="1"/>
  <c r="F504" i="5" s="1"/>
  <c r="AA501" i="1"/>
  <c r="F500" i="5" s="1"/>
  <c r="AA500" i="1"/>
  <c r="F499" i="5" s="1"/>
  <c r="AA499" i="1"/>
  <c r="F498" i="5" s="1"/>
  <c r="AA498" i="1"/>
  <c r="F497" i="5" s="1"/>
  <c r="AA497" i="1"/>
  <c r="F496" i="5" s="1"/>
  <c r="AA496" i="1"/>
  <c r="F495" i="5" s="1"/>
  <c r="AA495" i="1"/>
  <c r="F494" i="5" s="1"/>
  <c r="AA491" i="1"/>
  <c r="F490" i="5" s="1"/>
  <c r="AA490" i="1"/>
  <c r="F489" i="5" s="1"/>
  <c r="AA489" i="1"/>
  <c r="F488" i="5" s="1"/>
  <c r="AA488" i="1"/>
  <c r="F487" i="5" s="1"/>
  <c r="AA487" i="1"/>
  <c r="F486" i="5" s="1"/>
  <c r="AA486" i="1"/>
  <c r="F485" i="5" s="1"/>
  <c r="AA485" i="1"/>
  <c r="F484" i="5" s="1"/>
  <c r="AA481" i="1"/>
  <c r="F480" i="5" s="1"/>
  <c r="AA480" i="1"/>
  <c r="F479" i="5" s="1"/>
  <c r="AA479" i="1"/>
  <c r="F478" i="5" s="1"/>
  <c r="AA478" i="1"/>
  <c r="F477" i="5" s="1"/>
  <c r="AA477" i="1"/>
  <c r="F476" i="5" s="1"/>
  <c r="AA476" i="1"/>
  <c r="F475" i="5" s="1"/>
  <c r="AA475" i="1"/>
  <c r="F474" i="5" s="1"/>
  <c r="AA471" i="1"/>
  <c r="F470" i="5" s="1"/>
  <c r="AA470" i="1"/>
  <c r="F469" i="5" s="1"/>
  <c r="AA469" i="1"/>
  <c r="F468" i="5" s="1"/>
  <c r="AA468" i="1"/>
  <c r="F467" i="5" s="1"/>
  <c r="AA467" i="1"/>
  <c r="F466" i="5" s="1"/>
  <c r="AA466" i="1"/>
  <c r="F465" i="5" s="1"/>
  <c r="AA465" i="1"/>
  <c r="F464" i="5" s="1"/>
  <c r="AA461" i="1"/>
  <c r="F460" i="5" s="1"/>
  <c r="AA460" i="1"/>
  <c r="F459" i="5" s="1"/>
  <c r="AA459" i="1"/>
  <c r="F458" i="5" s="1"/>
  <c r="AA458" i="1"/>
  <c r="F457" i="5" s="1"/>
  <c r="AA457" i="1"/>
  <c r="F456" i="5" s="1"/>
  <c r="AA456" i="1"/>
  <c r="F455" i="5" s="1"/>
  <c r="AA455" i="1"/>
  <c r="F454" i="5" s="1"/>
  <c r="AA451" i="1"/>
  <c r="F450" i="5" s="1"/>
  <c r="AA450" i="1"/>
  <c r="F449" i="5" s="1"/>
  <c r="AA449" i="1"/>
  <c r="F448" i="5" s="1"/>
  <c r="AA448" i="1"/>
  <c r="F447" i="5" s="1"/>
  <c r="AA447" i="1"/>
  <c r="F446" i="5" s="1"/>
  <c r="AA446" i="1"/>
  <c r="F445" i="5" s="1"/>
  <c r="AA445" i="1"/>
  <c r="F444" i="5" s="1"/>
  <c r="AA441" i="1"/>
  <c r="F440" i="5" s="1"/>
  <c r="AA440" i="1"/>
  <c r="F439" i="5" s="1"/>
  <c r="AA439" i="1"/>
  <c r="F438" i="5" s="1"/>
  <c r="AA438" i="1"/>
  <c r="F437" i="5" s="1"/>
  <c r="AA437" i="1"/>
  <c r="F436" i="5" s="1"/>
  <c r="AA436" i="1"/>
  <c r="F435" i="5" s="1"/>
  <c r="AA435" i="1"/>
  <c r="F434" i="5" s="1"/>
  <c r="AA431" i="1"/>
  <c r="F430" i="5" s="1"/>
  <c r="AA430" i="1"/>
  <c r="F429" i="5" s="1"/>
  <c r="AA429" i="1"/>
  <c r="F428" i="5" s="1"/>
  <c r="AA428" i="1"/>
  <c r="F427" i="5" s="1"/>
  <c r="AA427" i="1"/>
  <c r="F426" i="5" s="1"/>
  <c r="AA426" i="1"/>
  <c r="F425" i="5" s="1"/>
  <c r="AA425" i="1"/>
  <c r="F424" i="5" s="1"/>
  <c r="AA421" i="1"/>
  <c r="F420" i="5" s="1"/>
  <c r="AA420" i="1"/>
  <c r="F419" i="5" s="1"/>
  <c r="AA419" i="1"/>
  <c r="F418" i="5" s="1"/>
  <c r="AA418" i="1"/>
  <c r="F417" i="5" s="1"/>
  <c r="AA417" i="1"/>
  <c r="F416" i="5" s="1"/>
  <c r="AA416" i="1"/>
  <c r="F415" i="5" s="1"/>
  <c r="AA415" i="1"/>
  <c r="F414" i="5" s="1"/>
  <c r="AA411" i="1"/>
  <c r="F410" i="5" s="1"/>
  <c r="AA410" i="1"/>
  <c r="F409" i="5" s="1"/>
  <c r="AA409" i="1"/>
  <c r="F408" i="5" s="1"/>
  <c r="AA408" i="1"/>
  <c r="F407" i="5" s="1"/>
  <c r="AA407" i="1"/>
  <c r="F406" i="5" s="1"/>
  <c r="AA406" i="1"/>
  <c r="F405" i="5" s="1"/>
  <c r="AA405" i="1"/>
  <c r="F404" i="5" s="1"/>
  <c r="AA401" i="1"/>
  <c r="F400" i="5" s="1"/>
  <c r="AA400" i="1"/>
  <c r="F399" i="5" s="1"/>
  <c r="AA399" i="1"/>
  <c r="F398" i="5" s="1"/>
  <c r="AA398" i="1"/>
  <c r="F397" i="5" s="1"/>
  <c r="AA397" i="1"/>
  <c r="F396" i="5" s="1"/>
  <c r="AA396" i="1"/>
  <c r="F395" i="5" s="1"/>
  <c r="AA395" i="1"/>
  <c r="F394" i="5" s="1"/>
  <c r="AA391" i="1"/>
  <c r="F390" i="5" s="1"/>
  <c r="AA390" i="1"/>
  <c r="F389" i="5" s="1"/>
  <c r="AA389" i="1"/>
  <c r="F388" i="5" s="1"/>
  <c r="AA388" i="1"/>
  <c r="F387" i="5" s="1"/>
  <c r="AA387" i="1"/>
  <c r="F386" i="5" s="1"/>
  <c r="AA386" i="1"/>
  <c r="F385" i="5" s="1"/>
  <c r="AA385" i="1"/>
  <c r="F384" i="5" s="1"/>
  <c r="AA381" i="1"/>
  <c r="F380" i="5" s="1"/>
  <c r="AA380" i="1"/>
  <c r="F379" i="5" s="1"/>
  <c r="AA379" i="1"/>
  <c r="F378" i="5" s="1"/>
  <c r="AA378" i="1"/>
  <c r="F377" i="5" s="1"/>
  <c r="AA377" i="1"/>
  <c r="F376" i="5" s="1"/>
  <c r="AA376" i="1"/>
  <c r="F375" i="5" s="1"/>
  <c r="AA375" i="1"/>
  <c r="F374" i="5" s="1"/>
  <c r="AA371" i="1"/>
  <c r="F370" i="5" s="1"/>
  <c r="AA370" i="1"/>
  <c r="F369" i="5" s="1"/>
  <c r="AA369" i="1"/>
  <c r="F368" i="5" s="1"/>
  <c r="AA368" i="1"/>
  <c r="F367" i="5" s="1"/>
  <c r="AA367" i="1"/>
  <c r="F366" i="5" s="1"/>
  <c r="AA366" i="1"/>
  <c r="F365" i="5" s="1"/>
  <c r="AA365" i="1"/>
  <c r="F364" i="5" s="1"/>
  <c r="AA361" i="1"/>
  <c r="F360" i="5" s="1"/>
  <c r="AA360" i="1"/>
  <c r="F359" i="5" s="1"/>
  <c r="AA359" i="1"/>
  <c r="F358" i="5" s="1"/>
  <c r="AA358" i="1"/>
  <c r="F357" i="5" s="1"/>
  <c r="AA357" i="1"/>
  <c r="F356" i="5" s="1"/>
  <c r="AA356" i="1"/>
  <c r="F355" i="5" s="1"/>
  <c r="AA355" i="1"/>
  <c r="F354" i="5" s="1"/>
  <c r="AA351" i="1"/>
  <c r="F350" i="5" s="1"/>
  <c r="AA350" i="1"/>
  <c r="F349" i="5" s="1"/>
  <c r="AA349" i="1"/>
  <c r="F348" i="5" s="1"/>
  <c r="AA348" i="1"/>
  <c r="F347" i="5" s="1"/>
  <c r="AA347" i="1"/>
  <c r="F346" i="5" s="1"/>
  <c r="AA346" i="1"/>
  <c r="F345" i="5" s="1"/>
  <c r="AA345" i="1"/>
  <c r="F344" i="5" s="1"/>
  <c r="AA341" i="1"/>
  <c r="F340" i="5" s="1"/>
  <c r="AA340" i="1"/>
  <c r="F339" i="5" s="1"/>
  <c r="AA339" i="1"/>
  <c r="F338" i="5" s="1"/>
  <c r="AA338" i="1"/>
  <c r="F337" i="5" s="1"/>
  <c r="AA337" i="1"/>
  <c r="F336" i="5" s="1"/>
  <c r="AA336" i="1"/>
  <c r="F335" i="5" s="1"/>
  <c r="AA335" i="1"/>
  <c r="F334" i="5" s="1"/>
  <c r="AA331" i="1"/>
  <c r="F330" i="5" s="1"/>
  <c r="AA330" i="1"/>
  <c r="F329" i="5" s="1"/>
  <c r="AA329" i="1"/>
  <c r="F328" i="5" s="1"/>
  <c r="AA328" i="1"/>
  <c r="F327" i="5" s="1"/>
  <c r="AA327" i="1"/>
  <c r="F326" i="5" s="1"/>
  <c r="AA326" i="1"/>
  <c r="F325" i="5" s="1"/>
  <c r="AA325" i="1"/>
  <c r="F324" i="5" s="1"/>
  <c r="AA321" i="1"/>
  <c r="F320" i="5" s="1"/>
  <c r="AA320" i="1"/>
  <c r="F319" i="5" s="1"/>
  <c r="AA319" i="1"/>
  <c r="F318" i="5" s="1"/>
  <c r="AA318" i="1"/>
  <c r="F317" i="5" s="1"/>
  <c r="AA317" i="1"/>
  <c r="F316" i="5" s="1"/>
  <c r="AA316" i="1"/>
  <c r="F315" i="5" s="1"/>
  <c r="AA315" i="1"/>
  <c r="F314" i="5" s="1"/>
  <c r="AA311" i="1"/>
  <c r="F310" i="5" s="1"/>
  <c r="AA310" i="1"/>
  <c r="F309" i="5" s="1"/>
  <c r="AA309" i="1"/>
  <c r="F308" i="5" s="1"/>
  <c r="AA308" i="1"/>
  <c r="F307" i="5" s="1"/>
  <c r="AA307" i="1"/>
  <c r="F306" i="5" s="1"/>
  <c r="AA306" i="1"/>
  <c r="F305" i="5" s="1"/>
  <c r="AA305" i="1"/>
  <c r="F304" i="5" s="1"/>
  <c r="AA301" i="1"/>
  <c r="F300" i="5" s="1"/>
  <c r="AA300" i="1"/>
  <c r="F299" i="5" s="1"/>
  <c r="AA299" i="1"/>
  <c r="F298" i="5" s="1"/>
  <c r="AA298" i="1"/>
  <c r="F297" i="5" s="1"/>
  <c r="AA297" i="1"/>
  <c r="F296" i="5" s="1"/>
  <c r="AA296" i="1"/>
  <c r="F295" i="5" s="1"/>
  <c r="AA295" i="1"/>
  <c r="F294" i="5" s="1"/>
  <c r="AA291" i="1"/>
  <c r="F290" i="5" s="1"/>
  <c r="AA290" i="1"/>
  <c r="F289" i="5" s="1"/>
  <c r="AA289" i="1"/>
  <c r="F288" i="5" s="1"/>
  <c r="AA288" i="1"/>
  <c r="F287" i="5" s="1"/>
  <c r="AA287" i="1"/>
  <c r="F286" i="5" s="1"/>
  <c r="AA286" i="1"/>
  <c r="F285" i="5" s="1"/>
  <c r="AA285" i="1"/>
  <c r="F284" i="5" s="1"/>
  <c r="AA281" i="1"/>
  <c r="F280" i="5" s="1"/>
  <c r="AA280" i="1"/>
  <c r="F279" i="5" s="1"/>
  <c r="AA279" i="1"/>
  <c r="F278" i="5" s="1"/>
  <c r="AA278" i="1"/>
  <c r="F277" i="5" s="1"/>
  <c r="AA277" i="1"/>
  <c r="F276" i="5" s="1"/>
  <c r="AA276" i="1"/>
  <c r="F275" i="5" s="1"/>
  <c r="AA275" i="1"/>
  <c r="F274" i="5" s="1"/>
  <c r="AA271" i="1"/>
  <c r="F270" i="5" s="1"/>
  <c r="AA270" i="1"/>
  <c r="F269" i="5" s="1"/>
  <c r="AA269" i="1"/>
  <c r="F268" i="5" s="1"/>
  <c r="AA268" i="1"/>
  <c r="F267" i="5" s="1"/>
  <c r="AA267" i="1"/>
  <c r="F266" i="5" s="1"/>
  <c r="AA266" i="1"/>
  <c r="F265" i="5" s="1"/>
  <c r="AA265" i="1"/>
  <c r="F264" i="5" s="1"/>
  <c r="AA261" i="1"/>
  <c r="F260" i="5" s="1"/>
  <c r="AA260" i="1"/>
  <c r="F259" i="5" s="1"/>
  <c r="AA259" i="1"/>
  <c r="F258" i="5" s="1"/>
  <c r="AA258" i="1"/>
  <c r="F257" i="5" s="1"/>
  <c r="AA257" i="1"/>
  <c r="F256" i="5" s="1"/>
  <c r="AA256" i="1"/>
  <c r="F255" i="5" s="1"/>
  <c r="AA255" i="1"/>
  <c r="F254" i="5" s="1"/>
  <c r="AA251" i="1"/>
  <c r="F250" i="5" s="1"/>
  <c r="AA250" i="1"/>
  <c r="F249" i="5" s="1"/>
  <c r="AA249" i="1"/>
  <c r="F248" i="5" s="1"/>
  <c r="AA248" i="1"/>
  <c r="F247" i="5" s="1"/>
  <c r="AA247" i="1"/>
  <c r="F246" i="5" s="1"/>
  <c r="AA246" i="1"/>
  <c r="F245" i="5" s="1"/>
  <c r="AA245" i="1"/>
  <c r="F244" i="5" s="1"/>
  <c r="AA241" i="1"/>
  <c r="F240" i="5" s="1"/>
  <c r="AA240" i="1"/>
  <c r="F239" i="5" s="1"/>
  <c r="AA239" i="1"/>
  <c r="F238" i="5" s="1"/>
  <c r="AA238" i="1"/>
  <c r="F237" i="5" s="1"/>
  <c r="AA237" i="1"/>
  <c r="F236" i="5" s="1"/>
  <c r="AA236" i="1"/>
  <c r="F235" i="5" s="1"/>
  <c r="AA235" i="1"/>
  <c r="F234" i="5" s="1"/>
  <c r="AA231" i="1"/>
  <c r="F230" i="5" s="1"/>
  <c r="AA230" i="1"/>
  <c r="F229" i="5" s="1"/>
  <c r="AA229" i="1"/>
  <c r="F228" i="5" s="1"/>
  <c r="AA228" i="1"/>
  <c r="F227" i="5" s="1"/>
  <c r="AA227" i="1"/>
  <c r="F226" i="5" s="1"/>
  <c r="AA226" i="1"/>
  <c r="F225" i="5" s="1"/>
  <c r="AA225" i="1"/>
  <c r="F224" i="5" s="1"/>
  <c r="AA221" i="1"/>
  <c r="F220" i="5" s="1"/>
  <c r="AA220" i="1"/>
  <c r="F219" i="5" s="1"/>
  <c r="AA219" i="1"/>
  <c r="F218" i="5" s="1"/>
  <c r="AA218" i="1"/>
  <c r="F217" i="5" s="1"/>
  <c r="AA217" i="1"/>
  <c r="F216" i="5" s="1"/>
  <c r="AA216" i="1"/>
  <c r="F215" i="5" s="1"/>
  <c r="AA215" i="1"/>
  <c r="F214" i="5" s="1"/>
  <c r="AA211" i="1"/>
  <c r="F210" i="5" s="1"/>
  <c r="AA210" i="1"/>
  <c r="F209" i="5" s="1"/>
  <c r="AA209" i="1"/>
  <c r="F208" i="5" s="1"/>
  <c r="AA208" i="1"/>
  <c r="F207" i="5" s="1"/>
  <c r="AA207" i="1"/>
  <c r="F206" i="5" s="1"/>
  <c r="AA206" i="1"/>
  <c r="F205" i="5" s="1"/>
  <c r="AA205" i="1"/>
  <c r="F204" i="5" s="1"/>
  <c r="AA201" i="1"/>
  <c r="F200" i="5" s="1"/>
  <c r="AA200" i="1"/>
  <c r="F199" i="5" s="1"/>
  <c r="AA199" i="1"/>
  <c r="F198" i="5" s="1"/>
  <c r="AA198" i="1"/>
  <c r="F197" i="5" s="1"/>
  <c r="AA197" i="1"/>
  <c r="F196" i="5" s="1"/>
  <c r="AA196" i="1"/>
  <c r="F195" i="5" s="1"/>
  <c r="AA195" i="1"/>
  <c r="F194" i="5" s="1"/>
  <c r="AA191" i="1"/>
  <c r="F190" i="5" s="1"/>
  <c r="AA190" i="1"/>
  <c r="F189" i="5" s="1"/>
  <c r="AA189" i="1"/>
  <c r="F188" i="5" s="1"/>
  <c r="AA188" i="1"/>
  <c r="F187" i="5" s="1"/>
  <c r="AA187" i="1"/>
  <c r="F186" i="5" s="1"/>
  <c r="AA186" i="1"/>
  <c r="F185" i="5" s="1"/>
  <c r="AA185" i="1"/>
  <c r="F184" i="5" s="1"/>
  <c r="AA181" i="1"/>
  <c r="F180" i="5" s="1"/>
  <c r="AA180" i="1"/>
  <c r="F179" i="5" s="1"/>
  <c r="AA179" i="1"/>
  <c r="F178" i="5" s="1"/>
  <c r="AA178" i="1"/>
  <c r="F177" i="5" s="1"/>
  <c r="AA177" i="1"/>
  <c r="F176" i="5" s="1"/>
  <c r="AA176" i="1"/>
  <c r="F175" i="5" s="1"/>
  <c r="AA175" i="1"/>
  <c r="F174" i="5" s="1"/>
  <c r="AA171" i="1"/>
  <c r="F170" i="5" s="1"/>
  <c r="AA170" i="1"/>
  <c r="F169" i="5" s="1"/>
  <c r="AA169" i="1"/>
  <c r="F168" i="5" s="1"/>
  <c r="AA168" i="1"/>
  <c r="F167" i="5" s="1"/>
  <c r="AA167" i="1"/>
  <c r="F166" i="5" s="1"/>
  <c r="AA166" i="1"/>
  <c r="F165" i="5" s="1"/>
  <c r="AA165" i="1"/>
  <c r="F164" i="5" s="1"/>
  <c r="AA161" i="1"/>
  <c r="F160" i="5" s="1"/>
  <c r="AA160" i="1"/>
  <c r="F159" i="5" s="1"/>
  <c r="AA159" i="1"/>
  <c r="F158" i="5" s="1"/>
  <c r="AA158" i="1"/>
  <c r="F157" i="5" s="1"/>
  <c r="AA157" i="1"/>
  <c r="F156" i="5" s="1"/>
  <c r="AA156" i="1"/>
  <c r="F155" i="5" s="1"/>
  <c r="AA155" i="1"/>
  <c r="F154" i="5" s="1"/>
  <c r="AA151" i="1"/>
  <c r="F150" i="5" s="1"/>
  <c r="AA150" i="1"/>
  <c r="F149" i="5" s="1"/>
  <c r="AA149" i="1"/>
  <c r="F148" i="5" s="1"/>
  <c r="AA148" i="1"/>
  <c r="F147" i="5" s="1"/>
  <c r="N148" i="1" s="1"/>
  <c r="AA147" i="1"/>
  <c r="F146" i="5" s="1"/>
  <c r="AA146" i="1"/>
  <c r="F145" i="5" s="1"/>
  <c r="AA145" i="1"/>
  <c r="F144" i="5" s="1"/>
  <c r="AA141" i="1"/>
  <c r="F140" i="5" s="1"/>
  <c r="AA140" i="1"/>
  <c r="F139" i="5" s="1"/>
  <c r="AA139" i="1"/>
  <c r="F138" i="5" s="1"/>
  <c r="AA138" i="1"/>
  <c r="F137" i="5" s="1"/>
  <c r="AA137" i="1"/>
  <c r="F136" i="5" s="1"/>
  <c r="AA136" i="1"/>
  <c r="F135" i="5" s="1"/>
  <c r="AA135" i="1"/>
  <c r="F134" i="5" s="1"/>
  <c r="AA131" i="1"/>
  <c r="F130" i="5" s="1"/>
  <c r="AA130" i="1"/>
  <c r="F129" i="5" s="1"/>
  <c r="AA129" i="1"/>
  <c r="F128" i="5" s="1"/>
  <c r="AA128" i="1"/>
  <c r="F127" i="5" s="1"/>
  <c r="AA127" i="1"/>
  <c r="F126" i="5" s="1"/>
  <c r="AA126" i="1"/>
  <c r="F125" i="5" s="1"/>
  <c r="AA125" i="1"/>
  <c r="F124" i="5" s="1"/>
  <c r="AA121" i="1"/>
  <c r="F120" i="5" s="1"/>
  <c r="AA120" i="1"/>
  <c r="F119" i="5" s="1"/>
  <c r="AA119" i="1"/>
  <c r="F118" i="5" s="1"/>
  <c r="AA118" i="1"/>
  <c r="F117" i="5" s="1"/>
  <c r="AA117" i="1"/>
  <c r="F116" i="5" s="1"/>
  <c r="AA116" i="1"/>
  <c r="F115" i="5" s="1"/>
  <c r="AA115" i="1"/>
  <c r="F114" i="5" s="1"/>
  <c r="AA111" i="1"/>
  <c r="F110" i="5" s="1"/>
  <c r="AA110" i="1"/>
  <c r="F109" i="5" s="1"/>
  <c r="AA109" i="1"/>
  <c r="F108" i="5" s="1"/>
  <c r="AA108" i="1"/>
  <c r="F107" i="5" s="1"/>
  <c r="AA107" i="1"/>
  <c r="F106" i="5" s="1"/>
  <c r="AA106" i="1"/>
  <c r="F105" i="5" s="1"/>
  <c r="AA105" i="1"/>
  <c r="F104" i="5" s="1"/>
  <c r="AA101" i="1"/>
  <c r="F100" i="5" s="1"/>
  <c r="AA100" i="1"/>
  <c r="F99" i="5" s="1"/>
  <c r="AA99" i="1"/>
  <c r="F98" i="5" s="1"/>
  <c r="AA98" i="1"/>
  <c r="F97" i="5" s="1"/>
  <c r="AA97" i="1"/>
  <c r="F96" i="5" s="1"/>
  <c r="AA96" i="1"/>
  <c r="F95" i="5" s="1"/>
  <c r="AA95" i="1"/>
  <c r="F94" i="5" s="1"/>
  <c r="AA91" i="1"/>
  <c r="F90" i="5" s="1"/>
  <c r="AA90" i="1"/>
  <c r="F89" i="5" s="1"/>
  <c r="AA89" i="1"/>
  <c r="F88" i="5" s="1"/>
  <c r="AA88" i="1"/>
  <c r="F87" i="5" s="1"/>
  <c r="AA87" i="1"/>
  <c r="F86" i="5" s="1"/>
  <c r="AA86" i="1"/>
  <c r="F85" i="5" s="1"/>
  <c r="AA85" i="1"/>
  <c r="F84" i="5" s="1"/>
  <c r="AA81" i="1"/>
  <c r="F80" i="5" s="1"/>
  <c r="AA80" i="1"/>
  <c r="F79" i="5" s="1"/>
  <c r="AA79" i="1"/>
  <c r="F78" i="5" s="1"/>
  <c r="AA78" i="1"/>
  <c r="F77" i="5" s="1"/>
  <c r="AA77" i="1"/>
  <c r="F76" i="5" s="1"/>
  <c r="AA76" i="1"/>
  <c r="F75" i="5" s="1"/>
  <c r="AA75" i="1"/>
  <c r="F74" i="5" s="1"/>
  <c r="AA71" i="1"/>
  <c r="F70" i="5" s="1"/>
  <c r="AA70" i="1"/>
  <c r="F69" i="5" s="1"/>
  <c r="AA69" i="1"/>
  <c r="F68" i="5" s="1"/>
  <c r="AA68" i="1"/>
  <c r="F67" i="5" s="1"/>
  <c r="AA67" i="1"/>
  <c r="F66" i="5" s="1"/>
  <c r="AA66" i="1"/>
  <c r="F65" i="5" s="1"/>
  <c r="AA65" i="1"/>
  <c r="F64" i="5" s="1"/>
  <c r="AA61" i="1"/>
  <c r="F60" i="5" s="1"/>
  <c r="AA60" i="1"/>
  <c r="F59" i="5" s="1"/>
  <c r="AA59" i="1"/>
  <c r="F58" i="5" s="1"/>
  <c r="AA58" i="1"/>
  <c r="F57" i="5" s="1"/>
  <c r="AA57" i="1"/>
  <c r="F56" i="5" s="1"/>
  <c r="AA56" i="1"/>
  <c r="F55" i="5" s="1"/>
  <c r="AA55" i="1"/>
  <c r="F54" i="5" s="1"/>
  <c r="AA51" i="1"/>
  <c r="F50" i="5" s="1"/>
  <c r="AA50" i="1"/>
  <c r="F49" i="5" s="1"/>
  <c r="AA49" i="1"/>
  <c r="F48" i="5" s="1"/>
  <c r="AA48" i="1"/>
  <c r="F47" i="5" s="1"/>
  <c r="AA47" i="1"/>
  <c r="F46" i="5" s="1"/>
  <c r="AA46" i="1"/>
  <c r="F45" i="5" s="1"/>
  <c r="AA45" i="1"/>
  <c r="F44" i="5" s="1"/>
  <c r="C5" i="4"/>
  <c r="K11" i="1" l="1"/>
  <c r="AF11" i="1" l="1"/>
  <c r="AF10" i="1"/>
  <c r="AF9" i="1"/>
  <c r="AF8" i="1"/>
  <c r="AF7" i="1"/>
  <c r="AF6" i="1"/>
  <c r="AF5" i="1"/>
  <c r="AF21" i="1"/>
  <c r="AF20" i="1"/>
  <c r="AF19" i="1"/>
  <c r="AF18" i="1"/>
  <c r="AF17" i="1"/>
  <c r="AF16" i="1"/>
  <c r="AF15" i="1"/>
  <c r="E485" i="1" l="1"/>
  <c r="C484" i="5" s="1"/>
  <c r="C485" i="5" s="1"/>
  <c r="C486" i="5" s="1"/>
  <c r="C487" i="5" s="1"/>
  <c r="C488" i="5" s="1"/>
  <c r="C489" i="5" s="1"/>
  <c r="C490" i="5" s="1"/>
  <c r="C8" i="4"/>
  <c r="D8" i="4" s="1"/>
  <c r="C14" i="4"/>
  <c r="C13" i="4"/>
  <c r="C12" i="4"/>
  <c r="C11" i="4"/>
  <c r="C10" i="4"/>
  <c r="D10" i="4" s="1"/>
  <c r="C9" i="4"/>
  <c r="D9" i="4" s="1"/>
  <c r="C7" i="4"/>
  <c r="D7" i="4" s="1"/>
  <c r="C6" i="4"/>
  <c r="C15" i="4"/>
  <c r="C17" i="4" l="1"/>
  <c r="D14" i="4"/>
  <c r="D6" i="4"/>
  <c r="J5" i="4" l="1"/>
  <c r="J6" i="4"/>
  <c r="W161" i="1"/>
  <c r="W160" i="1"/>
  <c r="W159" i="1"/>
  <c r="W158" i="1"/>
  <c r="W157" i="1"/>
  <c r="W156" i="1"/>
  <c r="W155" i="1"/>
  <c r="AB531" i="1" l="1"/>
  <c r="AB530" i="1"/>
  <c r="AB529" i="1"/>
  <c r="AB528" i="1"/>
  <c r="AB527" i="1"/>
  <c r="AB526" i="1"/>
  <c r="AB525" i="1"/>
  <c r="AB521" i="1"/>
  <c r="AB520" i="1"/>
  <c r="AB519" i="1"/>
  <c r="AB518" i="1"/>
  <c r="AB517" i="1"/>
  <c r="AB516" i="1"/>
  <c r="AB515" i="1"/>
  <c r="AB511" i="1"/>
  <c r="AB510" i="1"/>
  <c r="AB509" i="1"/>
  <c r="AB508" i="1"/>
  <c r="AB507" i="1"/>
  <c r="AB506" i="1"/>
  <c r="AB505" i="1"/>
  <c r="AB501" i="1"/>
  <c r="AB500" i="1"/>
  <c r="AB499" i="1"/>
  <c r="AB498" i="1"/>
  <c r="AB497" i="1"/>
  <c r="AB496" i="1"/>
  <c r="AB495" i="1"/>
  <c r="AB491" i="1"/>
  <c r="AB490" i="1"/>
  <c r="AB489" i="1"/>
  <c r="AB488" i="1"/>
  <c r="AB487" i="1"/>
  <c r="AB486" i="1"/>
  <c r="AB485" i="1"/>
  <c r="AB481" i="1"/>
  <c r="AB480" i="1"/>
  <c r="AB479" i="1"/>
  <c r="AB478" i="1"/>
  <c r="AB477" i="1"/>
  <c r="AB476" i="1"/>
  <c r="AB475" i="1"/>
  <c r="AB471" i="1"/>
  <c r="AB470" i="1"/>
  <c r="AB469" i="1"/>
  <c r="AB468" i="1"/>
  <c r="AB467" i="1"/>
  <c r="AB466" i="1"/>
  <c r="AB465" i="1"/>
  <c r="AB461" i="1"/>
  <c r="AB460" i="1"/>
  <c r="AB459" i="1"/>
  <c r="AB458" i="1"/>
  <c r="AB457" i="1"/>
  <c r="AB456" i="1"/>
  <c r="AB455" i="1"/>
  <c r="AB451" i="1"/>
  <c r="AB450" i="1"/>
  <c r="AB449" i="1"/>
  <c r="AB448" i="1"/>
  <c r="AB447" i="1"/>
  <c r="AB446" i="1"/>
  <c r="AB445" i="1"/>
  <c r="AB441" i="1"/>
  <c r="AB440" i="1"/>
  <c r="AB439" i="1"/>
  <c r="AB438" i="1"/>
  <c r="AB437" i="1"/>
  <c r="AB436" i="1"/>
  <c r="AB435" i="1"/>
  <c r="AB431" i="1"/>
  <c r="AB430" i="1"/>
  <c r="AB429" i="1"/>
  <c r="AB428" i="1"/>
  <c r="AB427" i="1"/>
  <c r="AB426" i="1"/>
  <c r="AB425" i="1"/>
  <c r="AB421" i="1"/>
  <c r="AB420" i="1"/>
  <c r="AB419" i="1"/>
  <c r="AB418" i="1"/>
  <c r="AB417" i="1"/>
  <c r="AB416" i="1"/>
  <c r="AB415" i="1"/>
  <c r="AB411" i="1"/>
  <c r="AB410" i="1"/>
  <c r="AB409" i="1"/>
  <c r="AB408" i="1"/>
  <c r="AB407" i="1"/>
  <c r="AB406" i="1"/>
  <c r="AB405" i="1"/>
  <c r="AB401" i="1"/>
  <c r="AB400" i="1"/>
  <c r="AB399" i="1"/>
  <c r="AB398" i="1"/>
  <c r="AB397" i="1"/>
  <c r="AB396" i="1"/>
  <c r="AB395" i="1"/>
  <c r="AB391" i="1"/>
  <c r="AB390" i="1"/>
  <c r="AB389" i="1"/>
  <c r="AB388" i="1"/>
  <c r="AB387" i="1"/>
  <c r="AB386" i="1"/>
  <c r="AB385" i="1"/>
  <c r="AB381" i="1"/>
  <c r="AB380" i="1"/>
  <c r="AB379" i="1"/>
  <c r="AB378" i="1"/>
  <c r="AB377" i="1"/>
  <c r="AB376" i="1"/>
  <c r="AB375" i="1"/>
  <c r="AB371" i="1"/>
  <c r="AB370" i="1"/>
  <c r="AB369" i="1"/>
  <c r="AB368" i="1"/>
  <c r="AB367" i="1"/>
  <c r="AB366" i="1"/>
  <c r="AB365" i="1"/>
  <c r="AB361" i="1"/>
  <c r="AB360" i="1"/>
  <c r="AB359" i="1"/>
  <c r="AB358" i="1"/>
  <c r="AB357" i="1"/>
  <c r="AB356" i="1"/>
  <c r="AB355" i="1"/>
  <c r="AB351" i="1"/>
  <c r="AB350" i="1"/>
  <c r="AB349" i="1"/>
  <c r="AB348" i="1"/>
  <c r="AB347" i="1"/>
  <c r="AB346" i="1"/>
  <c r="AB345" i="1"/>
  <c r="AB341" i="1"/>
  <c r="AB340" i="1"/>
  <c r="AB339" i="1"/>
  <c r="AB338" i="1"/>
  <c r="AB337" i="1"/>
  <c r="AB336" i="1"/>
  <c r="AB335" i="1"/>
  <c r="AB331" i="1"/>
  <c r="AB330" i="1"/>
  <c r="AB329" i="1"/>
  <c r="AB328" i="1"/>
  <c r="AB327" i="1"/>
  <c r="AB326" i="1"/>
  <c r="AB325" i="1"/>
  <c r="AB321" i="1"/>
  <c r="AB320" i="1"/>
  <c r="AB319" i="1"/>
  <c r="AB318" i="1"/>
  <c r="AB317" i="1"/>
  <c r="AB316" i="1"/>
  <c r="AB315" i="1"/>
  <c r="AB311" i="1"/>
  <c r="AB310" i="1"/>
  <c r="AB309" i="1"/>
  <c r="AB308" i="1"/>
  <c r="AB307" i="1"/>
  <c r="AB306" i="1"/>
  <c r="AB305" i="1"/>
  <c r="AB301" i="1"/>
  <c r="AB300" i="1"/>
  <c r="AB299" i="1"/>
  <c r="AB298" i="1"/>
  <c r="AB297" i="1"/>
  <c r="AB296" i="1"/>
  <c r="AB295" i="1"/>
  <c r="AB291" i="1"/>
  <c r="AB290" i="1"/>
  <c r="AB289" i="1"/>
  <c r="AB288" i="1"/>
  <c r="AB287" i="1"/>
  <c r="AB286" i="1"/>
  <c r="AB285" i="1"/>
  <c r="AB281" i="1"/>
  <c r="AB280" i="1"/>
  <c r="AB279" i="1"/>
  <c r="AB278" i="1"/>
  <c r="AB277" i="1"/>
  <c r="AB276" i="1"/>
  <c r="AB275" i="1"/>
  <c r="AB271" i="1"/>
  <c r="AB270" i="1"/>
  <c r="AB269" i="1"/>
  <c r="AB268" i="1"/>
  <c r="AB267" i="1"/>
  <c r="AB266" i="1"/>
  <c r="AB265" i="1"/>
  <c r="AB261" i="1"/>
  <c r="AB260" i="1"/>
  <c r="AB259" i="1"/>
  <c r="AB258" i="1"/>
  <c r="AB257" i="1"/>
  <c r="AB256" i="1"/>
  <c r="AB255" i="1"/>
  <c r="AB251" i="1"/>
  <c r="AB250" i="1"/>
  <c r="AB249" i="1"/>
  <c r="AB248" i="1"/>
  <c r="AB247" i="1"/>
  <c r="AB246" i="1"/>
  <c r="AB245" i="1"/>
  <c r="AB241" i="1"/>
  <c r="AB240" i="1"/>
  <c r="AB239" i="1"/>
  <c r="AB238" i="1"/>
  <c r="AB237" i="1"/>
  <c r="AB236" i="1"/>
  <c r="AB235" i="1"/>
  <c r="AB231" i="1"/>
  <c r="AB230" i="1"/>
  <c r="AB229" i="1"/>
  <c r="AB228" i="1"/>
  <c r="AB227" i="1"/>
  <c r="AB226" i="1"/>
  <c r="AB225" i="1"/>
  <c r="AB221" i="1"/>
  <c r="AB220" i="1"/>
  <c r="AB219" i="1"/>
  <c r="AB218" i="1"/>
  <c r="AB217" i="1"/>
  <c r="AB216" i="1"/>
  <c r="AB215" i="1"/>
  <c r="AB211" i="1"/>
  <c r="AB210" i="1"/>
  <c r="AB209" i="1"/>
  <c r="AB208" i="1"/>
  <c r="AB207" i="1"/>
  <c r="AB206" i="1"/>
  <c r="AB205" i="1"/>
  <c r="AB201" i="1"/>
  <c r="AB200" i="1"/>
  <c r="AB199" i="1"/>
  <c r="AB198" i="1"/>
  <c r="AB197" i="1"/>
  <c r="AB196" i="1"/>
  <c r="AB195" i="1"/>
  <c r="AB191" i="1"/>
  <c r="AB190" i="1"/>
  <c r="AB189" i="1"/>
  <c r="AB188" i="1"/>
  <c r="AB187" i="1"/>
  <c r="AB186" i="1"/>
  <c r="AB185" i="1"/>
  <c r="AB181" i="1"/>
  <c r="AB180" i="1"/>
  <c r="AB179" i="1"/>
  <c r="AB178" i="1"/>
  <c r="AB177" i="1"/>
  <c r="AB176" i="1"/>
  <c r="AB175" i="1"/>
  <c r="AB171" i="1"/>
  <c r="AB170" i="1"/>
  <c r="AB169" i="1"/>
  <c r="AB168" i="1"/>
  <c r="AB167" i="1"/>
  <c r="AB166" i="1"/>
  <c r="AB165" i="1"/>
  <c r="AB151" i="1"/>
  <c r="AB150" i="1"/>
  <c r="AB149" i="1"/>
  <c r="AB148" i="1"/>
  <c r="AB147" i="1"/>
  <c r="AB146" i="1"/>
  <c r="AB145" i="1"/>
  <c r="AB141" i="1"/>
  <c r="AB140" i="1"/>
  <c r="AB139" i="1"/>
  <c r="AB138" i="1"/>
  <c r="AB137" i="1"/>
  <c r="AB136" i="1"/>
  <c r="AB135" i="1"/>
  <c r="AB131" i="1"/>
  <c r="AB130" i="1"/>
  <c r="AB129" i="1"/>
  <c r="AB128" i="1"/>
  <c r="AB127" i="1"/>
  <c r="AB126" i="1"/>
  <c r="AB125" i="1"/>
  <c r="AB121" i="1"/>
  <c r="AB120" i="1"/>
  <c r="AB119" i="1"/>
  <c r="AB118" i="1"/>
  <c r="AB117" i="1"/>
  <c r="AB116" i="1"/>
  <c r="AB115" i="1"/>
  <c r="AB111" i="1"/>
  <c r="AB110" i="1"/>
  <c r="AB109" i="1"/>
  <c r="AB108" i="1"/>
  <c r="AB107" i="1"/>
  <c r="AB106" i="1"/>
  <c r="AB105" i="1"/>
  <c r="AB101" i="1"/>
  <c r="AB100" i="1"/>
  <c r="AB99" i="1"/>
  <c r="AB98" i="1"/>
  <c r="AB97" i="1"/>
  <c r="AB96" i="1"/>
  <c r="AB95" i="1"/>
  <c r="AB91" i="1"/>
  <c r="AB90" i="1"/>
  <c r="AB89" i="1"/>
  <c r="AB88" i="1"/>
  <c r="AB87" i="1"/>
  <c r="AB86" i="1"/>
  <c r="AB85" i="1"/>
  <c r="AB81" i="1"/>
  <c r="AB80" i="1"/>
  <c r="AB79" i="1"/>
  <c r="AB78" i="1"/>
  <c r="AB77" i="1"/>
  <c r="AB76" i="1"/>
  <c r="AB75" i="1"/>
  <c r="AB71" i="1"/>
  <c r="AB70" i="1"/>
  <c r="AB69" i="1"/>
  <c r="AB68" i="1"/>
  <c r="AB67" i="1"/>
  <c r="AB66" i="1"/>
  <c r="AB65" i="1"/>
  <c r="AB61" i="1"/>
  <c r="AB60" i="1"/>
  <c r="AB59" i="1"/>
  <c r="AB58" i="1"/>
  <c r="AB57" i="1"/>
  <c r="AB56" i="1"/>
  <c r="AB55" i="1"/>
  <c r="AB51" i="1"/>
  <c r="AB50" i="1"/>
  <c r="AB49" i="1"/>
  <c r="AB48" i="1"/>
  <c r="AB47" i="1"/>
  <c r="AB46" i="1"/>
  <c r="AB45" i="1"/>
  <c r="AA41" i="1"/>
  <c r="AA40" i="1"/>
  <c r="AA39" i="1"/>
  <c r="AA38" i="1"/>
  <c r="AA37" i="1"/>
  <c r="AA36" i="1"/>
  <c r="AA35" i="1"/>
  <c r="AA31" i="1"/>
  <c r="AA30" i="1"/>
  <c r="AA29" i="1"/>
  <c r="AA28" i="1"/>
  <c r="AA27" i="1"/>
  <c r="AA26" i="1"/>
  <c r="AA25" i="1"/>
  <c r="AA21" i="1"/>
  <c r="AA20" i="1"/>
  <c r="AA19" i="1"/>
  <c r="AA18" i="1"/>
  <c r="AA17" i="1"/>
  <c r="AA16" i="1"/>
  <c r="AA15" i="1"/>
  <c r="L531" i="1"/>
  <c r="N531" i="1" s="1"/>
  <c r="L530" i="1"/>
  <c r="N530" i="1" s="1"/>
  <c r="L529" i="1"/>
  <c r="N529" i="1" s="1"/>
  <c r="L528" i="1"/>
  <c r="N528" i="1" s="1"/>
  <c r="L527" i="1"/>
  <c r="N527" i="1" s="1"/>
  <c r="L526" i="1"/>
  <c r="N526" i="1" s="1"/>
  <c r="L525" i="1"/>
  <c r="N525" i="1" s="1"/>
  <c r="V531" i="1"/>
  <c r="V530" i="1"/>
  <c r="V529" i="1"/>
  <c r="V528" i="1"/>
  <c r="V527" i="1"/>
  <c r="I527" i="1" s="1"/>
  <c r="V526" i="1"/>
  <c r="V525" i="1"/>
  <c r="V521" i="1"/>
  <c r="D520" i="5" s="1"/>
  <c r="V520" i="1"/>
  <c r="D519" i="5" s="1"/>
  <c r="V519" i="1"/>
  <c r="V518" i="1"/>
  <c r="V517" i="1"/>
  <c r="V516" i="1"/>
  <c r="V515" i="1"/>
  <c r="V511" i="1"/>
  <c r="D510" i="5" s="1"/>
  <c r="V510" i="1"/>
  <c r="D509" i="5" s="1"/>
  <c r="V509" i="1"/>
  <c r="V508" i="1"/>
  <c r="V507" i="1"/>
  <c r="V506" i="1"/>
  <c r="V505" i="1"/>
  <c r="V501" i="1"/>
  <c r="D500" i="5" s="1"/>
  <c r="V500" i="1"/>
  <c r="D499" i="5" s="1"/>
  <c r="V499" i="1"/>
  <c r="V498" i="1"/>
  <c r="V497" i="1"/>
  <c r="V496" i="1"/>
  <c r="V495" i="1"/>
  <c r="V491" i="1"/>
  <c r="D490" i="5" s="1"/>
  <c r="V490" i="1"/>
  <c r="D489" i="5" s="1"/>
  <c r="V489" i="1"/>
  <c r="V488" i="1"/>
  <c r="V487" i="1"/>
  <c r="V486" i="1"/>
  <c r="V485" i="1"/>
  <c r="V481" i="1"/>
  <c r="D480" i="5" s="1"/>
  <c r="V480" i="1"/>
  <c r="V479" i="1"/>
  <c r="V478" i="1"/>
  <c r="V477" i="1"/>
  <c r="V476" i="1"/>
  <c r="V475" i="1"/>
  <c r="V471" i="1"/>
  <c r="D470" i="5" s="1"/>
  <c r="V470" i="1"/>
  <c r="D469" i="5" s="1"/>
  <c r="V469" i="1"/>
  <c r="V468" i="1"/>
  <c r="V467" i="1"/>
  <c r="V466" i="1"/>
  <c r="V465" i="1"/>
  <c r="V461" i="1"/>
  <c r="D460" i="5" s="1"/>
  <c r="V460" i="1"/>
  <c r="D459" i="5" s="1"/>
  <c r="V459" i="1"/>
  <c r="V458" i="1"/>
  <c r="I458" i="1" s="1"/>
  <c r="V457" i="1"/>
  <c r="V456" i="1"/>
  <c r="V455" i="1"/>
  <c r="V451" i="1"/>
  <c r="D450" i="5" s="1"/>
  <c r="V450" i="1"/>
  <c r="D449" i="5" s="1"/>
  <c r="V449" i="1"/>
  <c r="V448" i="1"/>
  <c r="V447" i="1"/>
  <c r="V446" i="1"/>
  <c r="V445" i="1"/>
  <c r="V441" i="1"/>
  <c r="D440" i="5" s="1"/>
  <c r="V440" i="1"/>
  <c r="D439" i="5" s="1"/>
  <c r="V439" i="1"/>
  <c r="V438" i="1"/>
  <c r="V437" i="1"/>
  <c r="V436" i="1"/>
  <c r="V435" i="1"/>
  <c r="V431" i="1"/>
  <c r="D430" i="5" s="1"/>
  <c r="V430" i="1"/>
  <c r="D429" i="5" s="1"/>
  <c r="V429" i="1"/>
  <c r="V428" i="1"/>
  <c r="V427" i="1"/>
  <c r="V426" i="1"/>
  <c r="V425" i="1"/>
  <c r="V421" i="1"/>
  <c r="D420" i="5" s="1"/>
  <c r="V420" i="1"/>
  <c r="D419" i="5" s="1"/>
  <c r="V419" i="1"/>
  <c r="V418" i="1"/>
  <c r="V417" i="1"/>
  <c r="V416" i="1"/>
  <c r="V415" i="1"/>
  <c r="V411" i="1"/>
  <c r="D410" i="5" s="1"/>
  <c r="V410" i="1"/>
  <c r="D409" i="5" s="1"/>
  <c r="V409" i="1"/>
  <c r="V408" i="1"/>
  <c r="V407" i="1"/>
  <c r="V406" i="1"/>
  <c r="V405" i="1"/>
  <c r="V401" i="1"/>
  <c r="D400" i="5" s="1"/>
  <c r="V400" i="1"/>
  <c r="D399" i="5" s="1"/>
  <c r="V399" i="1"/>
  <c r="V398" i="1"/>
  <c r="V397" i="1"/>
  <c r="V396" i="1"/>
  <c r="V395" i="1"/>
  <c r="V391" i="1"/>
  <c r="D390" i="5" s="1"/>
  <c r="V390" i="1"/>
  <c r="D389" i="5" s="1"/>
  <c r="V389" i="1"/>
  <c r="V388" i="1"/>
  <c r="V387" i="1"/>
  <c r="V386" i="1"/>
  <c r="V385" i="1"/>
  <c r="V381" i="1"/>
  <c r="D380" i="5" s="1"/>
  <c r="V380" i="1"/>
  <c r="D379" i="5" s="1"/>
  <c r="V379" i="1"/>
  <c r="V378" i="1"/>
  <c r="V377" i="1"/>
  <c r="V376" i="1"/>
  <c r="V375" i="1"/>
  <c r="V371" i="1"/>
  <c r="D370" i="5" s="1"/>
  <c r="V370" i="1"/>
  <c r="D369" i="5" s="1"/>
  <c r="V369" i="1"/>
  <c r="V368" i="1"/>
  <c r="V367" i="1"/>
  <c r="V366" i="1"/>
  <c r="V365" i="1"/>
  <c r="V361" i="1"/>
  <c r="D360" i="5" s="1"/>
  <c r="V360" i="1"/>
  <c r="D359" i="5" s="1"/>
  <c r="V359" i="1"/>
  <c r="V358" i="1"/>
  <c r="V357" i="1"/>
  <c r="V356" i="1"/>
  <c r="I356" i="1" s="1"/>
  <c r="V355" i="1"/>
  <c r="V351" i="1"/>
  <c r="D350" i="5" s="1"/>
  <c r="V350" i="1"/>
  <c r="D349" i="5" s="1"/>
  <c r="V349" i="1"/>
  <c r="V348" i="1"/>
  <c r="V347" i="1"/>
  <c r="V346" i="1"/>
  <c r="V345" i="1"/>
  <c r="V341" i="1"/>
  <c r="D340" i="5" s="1"/>
  <c r="V340" i="1"/>
  <c r="D339" i="5" s="1"/>
  <c r="V339" i="1"/>
  <c r="V338" i="1"/>
  <c r="I338" i="1" s="1"/>
  <c r="V337" i="1"/>
  <c r="V336" i="1"/>
  <c r="V335" i="1"/>
  <c r="V331" i="1"/>
  <c r="D330" i="5" s="1"/>
  <c r="V330" i="1"/>
  <c r="D329" i="5" s="1"/>
  <c r="V329" i="1"/>
  <c r="V328" i="1"/>
  <c r="V327" i="1"/>
  <c r="V326" i="1"/>
  <c r="V325" i="1"/>
  <c r="V321" i="1"/>
  <c r="D320" i="5" s="1"/>
  <c r="V320" i="1"/>
  <c r="V319" i="1"/>
  <c r="V318" i="1"/>
  <c r="V317" i="1"/>
  <c r="V316" i="1"/>
  <c r="V315" i="1"/>
  <c r="V311" i="1"/>
  <c r="D310" i="5" s="1"/>
  <c r="V310" i="1"/>
  <c r="D309" i="5" s="1"/>
  <c r="V309" i="1"/>
  <c r="V308" i="1"/>
  <c r="V307" i="1"/>
  <c r="V306" i="1"/>
  <c r="V305" i="1"/>
  <c r="I305" i="1" s="1"/>
  <c r="V301" i="1"/>
  <c r="D300" i="5" s="1"/>
  <c r="V300" i="1"/>
  <c r="D299" i="5" s="1"/>
  <c r="V299" i="1"/>
  <c r="V298" i="1"/>
  <c r="V297" i="1"/>
  <c r="V296" i="1"/>
  <c r="V295" i="1"/>
  <c r="V291" i="1"/>
  <c r="D290" i="5" s="1"/>
  <c r="V290" i="1"/>
  <c r="D289" i="5" s="1"/>
  <c r="V289" i="1"/>
  <c r="V288" i="1"/>
  <c r="V287" i="1"/>
  <c r="V286" i="1"/>
  <c r="V285" i="1"/>
  <c r="V281" i="1"/>
  <c r="D280" i="5" s="1"/>
  <c r="V280" i="1"/>
  <c r="D279" i="5" s="1"/>
  <c r="V279" i="1"/>
  <c r="V278" i="1"/>
  <c r="I278" i="1" s="1"/>
  <c r="V277" i="1"/>
  <c r="V276" i="1"/>
  <c r="V275" i="1"/>
  <c r="V271" i="1"/>
  <c r="D270" i="5" s="1"/>
  <c r="V270" i="1"/>
  <c r="D269" i="5" s="1"/>
  <c r="V269" i="1"/>
  <c r="I269" i="1" s="1"/>
  <c r="V268" i="1"/>
  <c r="I268" i="1" s="1"/>
  <c r="V267" i="1"/>
  <c r="V266" i="1"/>
  <c r="V265" i="1"/>
  <c r="V261" i="1"/>
  <c r="D260" i="5" s="1"/>
  <c r="V260" i="1"/>
  <c r="D259" i="5" s="1"/>
  <c r="V259" i="1"/>
  <c r="V258" i="1"/>
  <c r="V257" i="1"/>
  <c r="V256" i="1"/>
  <c r="V255" i="1"/>
  <c r="V251" i="1"/>
  <c r="V250" i="1"/>
  <c r="D249" i="5" s="1"/>
  <c r="V249" i="1"/>
  <c r="V248" i="1"/>
  <c r="V247" i="1"/>
  <c r="V246" i="1"/>
  <c r="V245" i="1"/>
  <c r="V241" i="1"/>
  <c r="D240" i="5" s="1"/>
  <c r="V240" i="1"/>
  <c r="D239" i="5" s="1"/>
  <c r="V239" i="1"/>
  <c r="V238" i="1"/>
  <c r="V237" i="1"/>
  <c r="V236" i="1"/>
  <c r="I236" i="1" s="1"/>
  <c r="V235" i="1"/>
  <c r="I235" i="1" s="1"/>
  <c r="V231" i="1"/>
  <c r="D230" i="5" s="1"/>
  <c r="V230" i="1"/>
  <c r="D229" i="5" s="1"/>
  <c r="V229" i="1"/>
  <c r="V228" i="1"/>
  <c r="V227" i="1"/>
  <c r="V226" i="1"/>
  <c r="V225" i="1"/>
  <c r="V221" i="1"/>
  <c r="D220" i="5" s="1"/>
  <c r="V220" i="1"/>
  <c r="D219" i="5" s="1"/>
  <c r="V219" i="1"/>
  <c r="V218" i="1"/>
  <c r="I218" i="1" s="1"/>
  <c r="V217" i="1"/>
  <c r="V216" i="1"/>
  <c r="V215" i="1"/>
  <c r="V211" i="1"/>
  <c r="D210" i="5" s="1"/>
  <c r="V210" i="1"/>
  <c r="D209" i="5" s="1"/>
  <c r="V209" i="1"/>
  <c r="V208" i="1"/>
  <c r="I208" i="1" s="1"/>
  <c r="V207" i="1"/>
  <c r="I207" i="1" s="1"/>
  <c r="V206" i="1"/>
  <c r="V205" i="1"/>
  <c r="V201" i="1"/>
  <c r="D200" i="5" s="1"/>
  <c r="V200" i="1"/>
  <c r="V199" i="1"/>
  <c r="I199" i="1" s="1"/>
  <c r="V198" i="1"/>
  <c r="I198" i="1" s="1"/>
  <c r="V197" i="1"/>
  <c r="V196" i="1"/>
  <c r="V195" i="1"/>
  <c r="V191" i="1"/>
  <c r="D190" i="5" s="1"/>
  <c r="V190" i="1"/>
  <c r="D189" i="5" s="1"/>
  <c r="V189" i="1"/>
  <c r="V188" i="1"/>
  <c r="I188" i="1" s="1"/>
  <c r="V187" i="1"/>
  <c r="V186" i="1"/>
  <c r="V185" i="1"/>
  <c r="V181" i="1"/>
  <c r="D180" i="5" s="1"/>
  <c r="V180" i="1"/>
  <c r="D179" i="5" s="1"/>
  <c r="V179" i="1"/>
  <c r="V178" i="1"/>
  <c r="V177" i="1"/>
  <c r="V176" i="1"/>
  <c r="V175" i="1"/>
  <c r="I175" i="1" s="1"/>
  <c r="V151" i="1"/>
  <c r="D150" i="5" s="1"/>
  <c r="V150" i="1"/>
  <c r="D149" i="5" s="1"/>
  <c r="V149" i="1"/>
  <c r="V148" i="1"/>
  <c r="V147" i="1"/>
  <c r="V146" i="1"/>
  <c r="V145" i="1"/>
  <c r="I145" i="1" s="1"/>
  <c r="V141" i="1"/>
  <c r="D140" i="5" s="1"/>
  <c r="V140" i="1"/>
  <c r="V139" i="1"/>
  <c r="V138" i="1"/>
  <c r="V137" i="1"/>
  <c r="V136" i="1"/>
  <c r="V135" i="1"/>
  <c r="V131" i="1"/>
  <c r="D130" i="5" s="1"/>
  <c r="V130" i="1"/>
  <c r="V129" i="1"/>
  <c r="I129" i="1" s="1"/>
  <c r="V128" i="1"/>
  <c r="V127" i="1"/>
  <c r="V126" i="1"/>
  <c r="V125" i="1"/>
  <c r="V121" i="1"/>
  <c r="D120" i="5" s="1"/>
  <c r="V120" i="1"/>
  <c r="V119" i="1"/>
  <c r="I119" i="1" s="1"/>
  <c r="V118" i="1"/>
  <c r="V117" i="1"/>
  <c r="V116" i="1"/>
  <c r="V115" i="1"/>
  <c r="V111" i="1"/>
  <c r="D110" i="5" s="1"/>
  <c r="V110" i="1"/>
  <c r="D109" i="5" s="1"/>
  <c r="V109" i="1"/>
  <c r="V108" i="1"/>
  <c r="V107" i="1"/>
  <c r="V106" i="1"/>
  <c r="V105" i="1"/>
  <c r="V101" i="1"/>
  <c r="D100" i="5" s="1"/>
  <c r="V100" i="1"/>
  <c r="D99" i="5" s="1"/>
  <c r="V99" i="1"/>
  <c r="V98" i="1"/>
  <c r="V97" i="1"/>
  <c r="I97" i="1" s="1"/>
  <c r="V96" i="1"/>
  <c r="V95" i="1"/>
  <c r="V85" i="1"/>
  <c r="V86" i="1"/>
  <c r="V87" i="1"/>
  <c r="I87" i="1" s="1"/>
  <c r="V88" i="1"/>
  <c r="V89" i="1"/>
  <c r="V90" i="1"/>
  <c r="V91" i="1"/>
  <c r="D90" i="5" s="1"/>
  <c r="V81" i="1"/>
  <c r="D80" i="5" s="1"/>
  <c r="V80" i="1"/>
  <c r="D79" i="5" s="1"/>
  <c r="V79" i="1"/>
  <c r="V78" i="1"/>
  <c r="V77" i="1"/>
  <c r="V76" i="1"/>
  <c r="V75" i="1"/>
  <c r="V71" i="1"/>
  <c r="D70" i="5" s="1"/>
  <c r="V70" i="1"/>
  <c r="D69" i="5" s="1"/>
  <c r="V69" i="1"/>
  <c r="V68" i="1"/>
  <c r="V67" i="1"/>
  <c r="V66" i="1"/>
  <c r="V65" i="1"/>
  <c r="V61" i="1"/>
  <c r="D60" i="5" s="1"/>
  <c r="V60" i="1"/>
  <c r="V59" i="1"/>
  <c r="V58" i="1"/>
  <c r="V57" i="1"/>
  <c r="V56" i="1"/>
  <c r="V55" i="1"/>
  <c r="V51" i="1"/>
  <c r="D50" i="5" s="1"/>
  <c r="V50" i="1"/>
  <c r="D49" i="5" s="1"/>
  <c r="V49" i="1"/>
  <c r="V48" i="1"/>
  <c r="V47" i="1"/>
  <c r="V46" i="1"/>
  <c r="V45" i="1"/>
  <c r="V41" i="1"/>
  <c r="D40" i="5" s="1"/>
  <c r="V40" i="1"/>
  <c r="D39" i="5" s="1"/>
  <c r="V39" i="1"/>
  <c r="V38" i="1"/>
  <c r="V37" i="1"/>
  <c r="V36" i="1"/>
  <c r="V35" i="1"/>
  <c r="V171" i="1"/>
  <c r="D170" i="5" s="1"/>
  <c r="V170" i="1"/>
  <c r="D169" i="5" s="1"/>
  <c r="V169" i="1"/>
  <c r="V168" i="1"/>
  <c r="V167" i="1"/>
  <c r="V166" i="1"/>
  <c r="I166" i="1" s="1"/>
  <c r="V31" i="1"/>
  <c r="D30" i="5" s="1"/>
  <c r="V30" i="1"/>
  <c r="D29" i="5" s="1"/>
  <c r="V29" i="1"/>
  <c r="V28" i="1"/>
  <c r="V27" i="1"/>
  <c r="V26" i="1"/>
  <c r="I26" i="1" s="1"/>
  <c r="V25" i="1"/>
  <c r="V165" i="1"/>
  <c r="AB36" i="1" l="1"/>
  <c r="F35" i="5"/>
  <c r="AB16" i="1"/>
  <c r="F15" i="5"/>
  <c r="AB27" i="1"/>
  <c r="F26" i="5"/>
  <c r="AB38" i="1"/>
  <c r="F37" i="5"/>
  <c r="I120" i="1"/>
  <c r="D119" i="5"/>
  <c r="AB15" i="1"/>
  <c r="F14" i="5"/>
  <c r="AB17" i="1"/>
  <c r="F16" i="5"/>
  <c r="AB28" i="1"/>
  <c r="F27" i="5"/>
  <c r="AB39" i="1"/>
  <c r="F38" i="5"/>
  <c r="AB35" i="1"/>
  <c r="F34" i="5"/>
  <c r="AB25" i="1"/>
  <c r="F24" i="5"/>
  <c r="I200" i="1"/>
  <c r="D199" i="5"/>
  <c r="AB26" i="1"/>
  <c r="F25" i="5"/>
  <c r="AB18" i="1"/>
  <c r="F17" i="5"/>
  <c r="I90" i="1"/>
  <c r="D89" i="5"/>
  <c r="I130" i="1"/>
  <c r="D129" i="5"/>
  <c r="AB20" i="1"/>
  <c r="F19" i="5"/>
  <c r="AB31" i="1"/>
  <c r="F30" i="5"/>
  <c r="AB21" i="1"/>
  <c r="F20" i="5"/>
  <c r="AB37" i="1"/>
  <c r="F36" i="5"/>
  <c r="AB29" i="1"/>
  <c r="F28" i="5"/>
  <c r="AB40" i="1"/>
  <c r="F39" i="5"/>
  <c r="I60" i="1"/>
  <c r="D59" i="5"/>
  <c r="I140" i="1"/>
  <c r="D139" i="5"/>
  <c r="I251" i="1"/>
  <c r="D250" i="5"/>
  <c r="I320" i="1"/>
  <c r="D319" i="5"/>
  <c r="I480" i="1"/>
  <c r="D479" i="5"/>
  <c r="AB19" i="1"/>
  <c r="F18" i="5"/>
  <c r="AB30" i="1"/>
  <c r="F29" i="5"/>
  <c r="AB41" i="1"/>
  <c r="F40" i="5"/>
  <c r="I28" i="1"/>
  <c r="I27" i="1"/>
  <c r="I29" i="1"/>
  <c r="I25" i="1"/>
  <c r="I38" i="1"/>
  <c r="I165" i="1"/>
  <c r="W167" i="1"/>
  <c r="I167" i="1"/>
  <c r="W49" i="1"/>
  <c r="I49" i="1"/>
  <c r="W71" i="1"/>
  <c r="I71" i="1"/>
  <c r="W91" i="1"/>
  <c r="I91" i="1"/>
  <c r="W96" i="1"/>
  <c r="I96" i="1"/>
  <c r="W107" i="1"/>
  <c r="I107" i="1"/>
  <c r="W118" i="1"/>
  <c r="I118" i="1"/>
  <c r="W151" i="1"/>
  <c r="I151" i="1"/>
  <c r="W185" i="1"/>
  <c r="I185" i="1"/>
  <c r="W196" i="1"/>
  <c r="I196" i="1"/>
  <c r="W229" i="1"/>
  <c r="I229" i="1"/>
  <c r="W240" i="1"/>
  <c r="I240" i="1"/>
  <c r="W265" i="1"/>
  <c r="I265" i="1"/>
  <c r="W276" i="1"/>
  <c r="I276" i="1"/>
  <c r="W287" i="1"/>
  <c r="I287" i="1"/>
  <c r="W298" i="1"/>
  <c r="I298" i="1"/>
  <c r="W309" i="1"/>
  <c r="I309" i="1"/>
  <c r="W331" i="1"/>
  <c r="I331" i="1"/>
  <c r="W345" i="1"/>
  <c r="I345" i="1"/>
  <c r="W367" i="1"/>
  <c r="I367" i="1"/>
  <c r="W378" i="1"/>
  <c r="I378" i="1"/>
  <c r="W389" i="1"/>
  <c r="I389" i="1"/>
  <c r="W400" i="1"/>
  <c r="I400" i="1"/>
  <c r="W411" i="1"/>
  <c r="I411" i="1"/>
  <c r="W425" i="1"/>
  <c r="I425" i="1"/>
  <c r="W436" i="1"/>
  <c r="I436" i="1"/>
  <c r="W447" i="1"/>
  <c r="I447" i="1"/>
  <c r="W469" i="1"/>
  <c r="I469" i="1"/>
  <c r="W491" i="1"/>
  <c r="I491" i="1"/>
  <c r="W505" i="1"/>
  <c r="I505" i="1"/>
  <c r="W516" i="1"/>
  <c r="I516" i="1"/>
  <c r="AB157" i="1"/>
  <c r="I157" i="1"/>
  <c r="W168" i="1"/>
  <c r="I168" i="1"/>
  <c r="W39" i="1"/>
  <c r="I39" i="1"/>
  <c r="W50" i="1"/>
  <c r="I50" i="1"/>
  <c r="W61" i="1"/>
  <c r="I61" i="1"/>
  <c r="W75" i="1"/>
  <c r="I75" i="1"/>
  <c r="W108" i="1"/>
  <c r="I108" i="1"/>
  <c r="W141" i="1"/>
  <c r="I141" i="1"/>
  <c r="W186" i="1"/>
  <c r="I186" i="1"/>
  <c r="W197" i="1"/>
  <c r="I197" i="1"/>
  <c r="W219" i="1"/>
  <c r="I219" i="1"/>
  <c r="W230" i="1"/>
  <c r="I230" i="1"/>
  <c r="W241" i="1"/>
  <c r="I241" i="1"/>
  <c r="W255" i="1"/>
  <c r="I255" i="1"/>
  <c r="W266" i="1"/>
  <c r="I266" i="1"/>
  <c r="W277" i="1"/>
  <c r="I277" i="1"/>
  <c r="W288" i="1"/>
  <c r="I288" i="1"/>
  <c r="W299" i="1"/>
  <c r="I299" i="1"/>
  <c r="W310" i="1"/>
  <c r="I310" i="1"/>
  <c r="W321" i="1"/>
  <c r="I321" i="1"/>
  <c r="W335" i="1"/>
  <c r="I335" i="1"/>
  <c r="W346" i="1"/>
  <c r="I346" i="1"/>
  <c r="W357" i="1"/>
  <c r="I357" i="1"/>
  <c r="W368" i="1"/>
  <c r="I368" i="1"/>
  <c r="W379" i="1"/>
  <c r="I379" i="1"/>
  <c r="W390" i="1"/>
  <c r="I390" i="1"/>
  <c r="W401" i="1"/>
  <c r="I401" i="1"/>
  <c r="W415" i="1"/>
  <c r="I415" i="1"/>
  <c r="W426" i="1"/>
  <c r="I426" i="1"/>
  <c r="W437" i="1"/>
  <c r="I437" i="1"/>
  <c r="W448" i="1"/>
  <c r="I448" i="1"/>
  <c r="W459" i="1"/>
  <c r="I459" i="1"/>
  <c r="W470" i="1"/>
  <c r="I470" i="1"/>
  <c r="W481" i="1"/>
  <c r="I481" i="1"/>
  <c r="W495" i="1"/>
  <c r="I495" i="1"/>
  <c r="W506" i="1"/>
  <c r="I506" i="1"/>
  <c r="W517" i="1"/>
  <c r="I517" i="1"/>
  <c r="W528" i="1"/>
  <c r="I528" i="1"/>
  <c r="AB158" i="1"/>
  <c r="I158" i="1"/>
  <c r="W169" i="1"/>
  <c r="I169" i="1"/>
  <c r="W40" i="1"/>
  <c r="I40" i="1"/>
  <c r="W51" i="1"/>
  <c r="I51" i="1"/>
  <c r="W65" i="1"/>
  <c r="I65" i="1"/>
  <c r="W76" i="1"/>
  <c r="I76" i="1"/>
  <c r="I89" i="1"/>
  <c r="W98" i="1"/>
  <c r="I98" i="1"/>
  <c r="W109" i="1"/>
  <c r="I109" i="1"/>
  <c r="W131" i="1"/>
  <c r="I131" i="1"/>
  <c r="W176" i="1"/>
  <c r="I176" i="1"/>
  <c r="W187" i="1"/>
  <c r="I187" i="1"/>
  <c r="W209" i="1"/>
  <c r="I209" i="1"/>
  <c r="W220" i="1"/>
  <c r="I220" i="1"/>
  <c r="W231" i="1"/>
  <c r="I231" i="1"/>
  <c r="W245" i="1"/>
  <c r="I245" i="1"/>
  <c r="W256" i="1"/>
  <c r="I256" i="1"/>
  <c r="W267" i="1"/>
  <c r="I267" i="1"/>
  <c r="W289" i="1"/>
  <c r="I289" i="1"/>
  <c r="W300" i="1"/>
  <c r="I300" i="1"/>
  <c r="W311" i="1"/>
  <c r="I311" i="1"/>
  <c r="W325" i="1"/>
  <c r="I325" i="1"/>
  <c r="W336" i="1"/>
  <c r="I336" i="1"/>
  <c r="W347" i="1"/>
  <c r="I347" i="1"/>
  <c r="W358" i="1"/>
  <c r="I358" i="1"/>
  <c r="W369" i="1"/>
  <c r="I369" i="1"/>
  <c r="W380" i="1"/>
  <c r="I380" i="1"/>
  <c r="W391" i="1"/>
  <c r="I391" i="1"/>
  <c r="W405" i="1"/>
  <c r="I405" i="1"/>
  <c r="W416" i="1"/>
  <c r="I416" i="1"/>
  <c r="W427" i="1"/>
  <c r="I427" i="1"/>
  <c r="W438" i="1"/>
  <c r="I438" i="1"/>
  <c r="W449" i="1"/>
  <c r="I449" i="1"/>
  <c r="W460" i="1"/>
  <c r="I460" i="1"/>
  <c r="W471" i="1"/>
  <c r="I471" i="1"/>
  <c r="W485" i="1"/>
  <c r="I485" i="1"/>
  <c r="W496" i="1"/>
  <c r="I496" i="1"/>
  <c r="W507" i="1"/>
  <c r="I507" i="1"/>
  <c r="W518" i="1"/>
  <c r="I518" i="1"/>
  <c r="W529" i="1"/>
  <c r="I529" i="1"/>
  <c r="AB159" i="1"/>
  <c r="I159" i="1"/>
  <c r="W170" i="1"/>
  <c r="I170" i="1"/>
  <c r="W41" i="1"/>
  <c r="I41" i="1"/>
  <c r="W55" i="1"/>
  <c r="I55" i="1"/>
  <c r="W66" i="1"/>
  <c r="I66" i="1"/>
  <c r="I77" i="1"/>
  <c r="W88" i="1"/>
  <c r="I88" i="1"/>
  <c r="W99" i="1"/>
  <c r="I99" i="1"/>
  <c r="W110" i="1"/>
  <c r="I110" i="1"/>
  <c r="W121" i="1"/>
  <c r="I121" i="1"/>
  <c r="W135" i="1"/>
  <c r="I135" i="1"/>
  <c r="W146" i="1"/>
  <c r="I146" i="1"/>
  <c r="W177" i="1"/>
  <c r="I177" i="1"/>
  <c r="W210" i="1"/>
  <c r="I210" i="1"/>
  <c r="W221" i="1"/>
  <c r="I221" i="1"/>
  <c r="W246" i="1"/>
  <c r="I246" i="1"/>
  <c r="W257" i="1"/>
  <c r="I257" i="1"/>
  <c r="W279" i="1"/>
  <c r="I279" i="1"/>
  <c r="W290" i="1"/>
  <c r="I290" i="1"/>
  <c r="W301" i="1"/>
  <c r="I301" i="1"/>
  <c r="W315" i="1"/>
  <c r="I315" i="1"/>
  <c r="W326" i="1"/>
  <c r="I326" i="1"/>
  <c r="W337" i="1"/>
  <c r="I337" i="1"/>
  <c r="W348" i="1"/>
  <c r="I348" i="1"/>
  <c r="W359" i="1"/>
  <c r="I359" i="1"/>
  <c r="AB160" i="1"/>
  <c r="I160" i="1"/>
  <c r="I45" i="1"/>
  <c r="W67" i="1"/>
  <c r="I67" i="1"/>
  <c r="W78" i="1"/>
  <c r="I78" i="1"/>
  <c r="W100" i="1"/>
  <c r="I100" i="1"/>
  <c r="I147" i="1"/>
  <c r="W258" i="1"/>
  <c r="I258" i="1"/>
  <c r="W316" i="1"/>
  <c r="I316" i="1"/>
  <c r="W327" i="1"/>
  <c r="I327" i="1"/>
  <c r="W349" i="1"/>
  <c r="I349" i="1"/>
  <c r="W371" i="1"/>
  <c r="I371" i="1"/>
  <c r="W396" i="1"/>
  <c r="I396" i="1"/>
  <c r="W418" i="1"/>
  <c r="I418" i="1"/>
  <c r="W440" i="1"/>
  <c r="I440" i="1"/>
  <c r="W465" i="1"/>
  <c r="I465" i="1"/>
  <c r="W487" i="1"/>
  <c r="I487" i="1"/>
  <c r="W509" i="1"/>
  <c r="I509" i="1"/>
  <c r="W531" i="1"/>
  <c r="I531" i="1"/>
  <c r="AB161" i="1"/>
  <c r="I161" i="1"/>
  <c r="W30" i="1"/>
  <c r="I30" i="1"/>
  <c r="W35" i="1"/>
  <c r="I35" i="1"/>
  <c r="I46" i="1"/>
  <c r="W57" i="1"/>
  <c r="I57" i="1"/>
  <c r="W68" i="1"/>
  <c r="I68" i="1"/>
  <c r="W79" i="1"/>
  <c r="I79" i="1"/>
  <c r="W86" i="1"/>
  <c r="I86" i="1"/>
  <c r="W101" i="1"/>
  <c r="I101" i="1"/>
  <c r="W115" i="1"/>
  <c r="I115" i="1"/>
  <c r="W126" i="1"/>
  <c r="I126" i="1"/>
  <c r="I137" i="1"/>
  <c r="I148" i="1"/>
  <c r="W179" i="1"/>
  <c r="I179" i="1"/>
  <c r="W190" i="1"/>
  <c r="I190" i="1"/>
  <c r="W201" i="1"/>
  <c r="I201" i="1"/>
  <c r="I215" i="1"/>
  <c r="W226" i="1"/>
  <c r="I226" i="1"/>
  <c r="W237" i="1"/>
  <c r="I237" i="1"/>
  <c r="W248" i="1"/>
  <c r="I248" i="1"/>
  <c r="W259" i="1"/>
  <c r="I259" i="1"/>
  <c r="W270" i="1"/>
  <c r="I270" i="1"/>
  <c r="W281" i="1"/>
  <c r="I281" i="1"/>
  <c r="W295" i="1"/>
  <c r="I295" i="1"/>
  <c r="W306" i="1"/>
  <c r="I306" i="1"/>
  <c r="W317" i="1"/>
  <c r="I317" i="1"/>
  <c r="W328" i="1"/>
  <c r="I328" i="1"/>
  <c r="W339" i="1"/>
  <c r="I339" i="1"/>
  <c r="W350" i="1"/>
  <c r="I350" i="1"/>
  <c r="W361" i="1"/>
  <c r="I361" i="1"/>
  <c r="W375" i="1"/>
  <c r="I375" i="1"/>
  <c r="W386" i="1"/>
  <c r="I386" i="1"/>
  <c r="W397" i="1"/>
  <c r="I397" i="1"/>
  <c r="W408" i="1"/>
  <c r="I408" i="1"/>
  <c r="W419" i="1"/>
  <c r="I419" i="1"/>
  <c r="W430" i="1"/>
  <c r="I430" i="1"/>
  <c r="W441" i="1"/>
  <c r="I441" i="1"/>
  <c r="W455" i="1"/>
  <c r="I455" i="1"/>
  <c r="W466" i="1"/>
  <c r="I466" i="1"/>
  <c r="W477" i="1"/>
  <c r="I477" i="1"/>
  <c r="W488" i="1"/>
  <c r="I488" i="1"/>
  <c r="W499" i="1"/>
  <c r="I499" i="1"/>
  <c r="W510" i="1"/>
  <c r="I510" i="1"/>
  <c r="W521" i="1"/>
  <c r="I521" i="1"/>
  <c r="W420" i="1"/>
  <c r="I420" i="1"/>
  <c r="W431" i="1"/>
  <c r="I431" i="1"/>
  <c r="W445" i="1"/>
  <c r="I445" i="1"/>
  <c r="W456" i="1"/>
  <c r="I456" i="1"/>
  <c r="W467" i="1"/>
  <c r="I467" i="1"/>
  <c r="W478" i="1"/>
  <c r="I478" i="1"/>
  <c r="W489" i="1"/>
  <c r="I489" i="1"/>
  <c r="W500" i="1"/>
  <c r="I500" i="1"/>
  <c r="W511" i="1"/>
  <c r="I511" i="1"/>
  <c r="W525" i="1"/>
  <c r="I525" i="1"/>
  <c r="AB155" i="1"/>
  <c r="I155" i="1"/>
  <c r="W370" i="1"/>
  <c r="I370" i="1"/>
  <c r="W381" i="1"/>
  <c r="I381" i="1"/>
  <c r="W395" i="1"/>
  <c r="I395" i="1"/>
  <c r="W406" i="1"/>
  <c r="I406" i="1"/>
  <c r="W417" i="1"/>
  <c r="I417" i="1"/>
  <c r="W428" i="1"/>
  <c r="I428" i="1"/>
  <c r="W439" i="1"/>
  <c r="I439" i="1"/>
  <c r="W450" i="1"/>
  <c r="I450" i="1"/>
  <c r="W461" i="1"/>
  <c r="I461" i="1"/>
  <c r="W475" i="1"/>
  <c r="I475" i="1"/>
  <c r="W486" i="1"/>
  <c r="I486" i="1"/>
  <c r="W497" i="1"/>
  <c r="I497" i="1"/>
  <c r="W508" i="1"/>
  <c r="I508" i="1"/>
  <c r="W519" i="1"/>
  <c r="I519" i="1"/>
  <c r="W530" i="1"/>
  <c r="I530" i="1"/>
  <c r="W171" i="1"/>
  <c r="I171" i="1"/>
  <c r="W56" i="1"/>
  <c r="I56" i="1"/>
  <c r="W111" i="1"/>
  <c r="I111" i="1"/>
  <c r="W125" i="1"/>
  <c r="I125" i="1"/>
  <c r="W136" i="1"/>
  <c r="I136" i="1"/>
  <c r="W178" i="1"/>
  <c r="I178" i="1"/>
  <c r="W189" i="1"/>
  <c r="I189" i="1"/>
  <c r="W211" i="1"/>
  <c r="I211" i="1"/>
  <c r="W225" i="1"/>
  <c r="I225" i="1"/>
  <c r="W247" i="1"/>
  <c r="I247" i="1"/>
  <c r="W280" i="1"/>
  <c r="I280" i="1"/>
  <c r="W291" i="1"/>
  <c r="I291" i="1"/>
  <c r="W360" i="1"/>
  <c r="I360" i="1"/>
  <c r="W385" i="1"/>
  <c r="I385" i="1"/>
  <c r="W407" i="1"/>
  <c r="I407" i="1"/>
  <c r="W429" i="1"/>
  <c r="I429" i="1"/>
  <c r="W451" i="1"/>
  <c r="I451" i="1"/>
  <c r="W476" i="1"/>
  <c r="I476" i="1"/>
  <c r="W498" i="1"/>
  <c r="I498" i="1"/>
  <c r="W520" i="1"/>
  <c r="I520" i="1"/>
  <c r="W31" i="1"/>
  <c r="I31" i="1"/>
  <c r="W36" i="1"/>
  <c r="I36" i="1"/>
  <c r="I47" i="1"/>
  <c r="I58" i="1"/>
  <c r="W69" i="1"/>
  <c r="I69" i="1"/>
  <c r="W80" i="1"/>
  <c r="I80" i="1"/>
  <c r="W85" i="1"/>
  <c r="I85" i="1"/>
  <c r="W105" i="1"/>
  <c r="I105" i="1"/>
  <c r="W116" i="1"/>
  <c r="I116" i="1"/>
  <c r="W127" i="1"/>
  <c r="I127" i="1"/>
  <c r="W138" i="1"/>
  <c r="I138" i="1"/>
  <c r="W149" i="1"/>
  <c r="I149" i="1"/>
  <c r="W180" i="1"/>
  <c r="I180" i="1"/>
  <c r="W191" i="1"/>
  <c r="I191" i="1"/>
  <c r="W205" i="1"/>
  <c r="I205" i="1"/>
  <c r="W216" i="1"/>
  <c r="I216" i="1"/>
  <c r="W227" i="1"/>
  <c r="I227" i="1"/>
  <c r="W238" i="1"/>
  <c r="I238" i="1"/>
  <c r="W249" i="1"/>
  <c r="I249" i="1"/>
  <c r="W260" i="1"/>
  <c r="I260" i="1"/>
  <c r="W271" i="1"/>
  <c r="I271" i="1"/>
  <c r="W285" i="1"/>
  <c r="I285" i="1"/>
  <c r="W296" i="1"/>
  <c r="I296" i="1"/>
  <c r="W307" i="1"/>
  <c r="I307" i="1"/>
  <c r="W318" i="1"/>
  <c r="I318" i="1"/>
  <c r="W329" i="1"/>
  <c r="I329" i="1"/>
  <c r="W340" i="1"/>
  <c r="I340" i="1"/>
  <c r="W351" i="1"/>
  <c r="I351" i="1"/>
  <c r="W365" i="1"/>
  <c r="I365" i="1"/>
  <c r="W376" i="1"/>
  <c r="I376" i="1"/>
  <c r="W387" i="1"/>
  <c r="I387" i="1"/>
  <c r="W398" i="1"/>
  <c r="I398" i="1"/>
  <c r="W409" i="1"/>
  <c r="I409" i="1"/>
  <c r="I37" i="1"/>
  <c r="W48" i="1"/>
  <c r="I48" i="1"/>
  <c r="I59" i="1"/>
  <c r="W70" i="1"/>
  <c r="I70" i="1"/>
  <c r="W81" i="1"/>
  <c r="I81" i="1"/>
  <c r="W95" i="1"/>
  <c r="I95" i="1"/>
  <c r="W106" i="1"/>
  <c r="I106" i="1"/>
  <c r="W117" i="1"/>
  <c r="I117" i="1"/>
  <c r="W128" i="1"/>
  <c r="I128" i="1"/>
  <c r="I139" i="1"/>
  <c r="W150" i="1"/>
  <c r="I150" i="1"/>
  <c r="W181" i="1"/>
  <c r="I181" i="1"/>
  <c r="W195" i="1"/>
  <c r="I195" i="1"/>
  <c r="W206" i="1"/>
  <c r="I206" i="1"/>
  <c r="W217" i="1"/>
  <c r="I217" i="1"/>
  <c r="W228" i="1"/>
  <c r="I228" i="1"/>
  <c r="W239" i="1"/>
  <c r="I239" i="1"/>
  <c r="W250" i="1"/>
  <c r="I250" i="1"/>
  <c r="W261" i="1"/>
  <c r="I261" i="1"/>
  <c r="W275" i="1"/>
  <c r="I275" i="1"/>
  <c r="W286" i="1"/>
  <c r="I286" i="1"/>
  <c r="W297" i="1"/>
  <c r="I297" i="1"/>
  <c r="W308" i="1"/>
  <c r="I308" i="1"/>
  <c r="W319" i="1"/>
  <c r="I319" i="1"/>
  <c r="W330" i="1"/>
  <c r="I330" i="1"/>
  <c r="W341" i="1"/>
  <c r="I341" i="1"/>
  <c r="W355" i="1"/>
  <c r="I355" i="1"/>
  <c r="W366" i="1"/>
  <c r="I366" i="1"/>
  <c r="W377" i="1"/>
  <c r="I377" i="1"/>
  <c r="W388" i="1"/>
  <c r="I388" i="1"/>
  <c r="W399" i="1"/>
  <c r="I399" i="1"/>
  <c r="W410" i="1"/>
  <c r="I410" i="1"/>
  <c r="W421" i="1"/>
  <c r="I421" i="1"/>
  <c r="W435" i="1"/>
  <c r="I435" i="1"/>
  <c r="W446" i="1"/>
  <c r="I446" i="1"/>
  <c r="W457" i="1"/>
  <c r="I457" i="1"/>
  <c r="W468" i="1"/>
  <c r="I468" i="1"/>
  <c r="W479" i="1"/>
  <c r="I479" i="1"/>
  <c r="W490" i="1"/>
  <c r="I490" i="1"/>
  <c r="W501" i="1"/>
  <c r="I501" i="1"/>
  <c r="W515" i="1"/>
  <c r="I515" i="1"/>
  <c r="W526" i="1"/>
  <c r="I526" i="1"/>
  <c r="AB156" i="1"/>
  <c r="I156" i="1"/>
  <c r="W37" i="1"/>
  <c r="W166" i="1"/>
  <c r="W90" i="1"/>
  <c r="W119" i="1"/>
  <c r="W137" i="1"/>
  <c r="W175" i="1"/>
  <c r="W208" i="1"/>
  <c r="M525" i="1"/>
  <c r="W38" i="1"/>
  <c r="W87" i="1"/>
  <c r="W140" i="1"/>
  <c r="M528" i="1"/>
  <c r="W89" i="1"/>
  <c r="W278" i="1"/>
  <c r="W215" i="1"/>
  <c r="M529" i="1"/>
  <c r="W165" i="1"/>
  <c r="W198" i="1"/>
  <c r="M530" i="1"/>
  <c r="W77" i="1"/>
  <c r="W199" i="1"/>
  <c r="W268" i="1"/>
  <c r="M531" i="1"/>
  <c r="W27" i="1"/>
  <c r="W45" i="1"/>
  <c r="W60" i="1"/>
  <c r="W129" i="1"/>
  <c r="W147" i="1"/>
  <c r="W200" i="1"/>
  <c r="W218" i="1"/>
  <c r="W236" i="1"/>
  <c r="W251" i="1"/>
  <c r="W269" i="1"/>
  <c r="W305" i="1"/>
  <c r="W320" i="1"/>
  <c r="W338" i="1"/>
  <c r="W356" i="1"/>
  <c r="W458" i="1"/>
  <c r="W527" i="1"/>
  <c r="M526" i="1"/>
  <c r="W26" i="1"/>
  <c r="W59" i="1"/>
  <c r="W28" i="1"/>
  <c r="W46" i="1"/>
  <c r="W97" i="1"/>
  <c r="W130" i="1"/>
  <c r="W148" i="1"/>
  <c r="M527" i="1"/>
  <c r="W25" i="1"/>
  <c r="W58" i="1"/>
  <c r="W145" i="1"/>
  <c r="W29" i="1"/>
  <c r="W47" i="1"/>
  <c r="W120" i="1"/>
  <c r="W235" i="1"/>
  <c r="W188" i="1"/>
  <c r="W139" i="1"/>
  <c r="W207" i="1"/>
  <c r="W480" i="1"/>
  <c r="V21" i="1"/>
  <c r="D20" i="5" s="1"/>
  <c r="V20" i="1"/>
  <c r="D19" i="5" s="1"/>
  <c r="V19" i="1"/>
  <c r="V18" i="1"/>
  <c r="V17" i="1"/>
  <c r="V16" i="1"/>
  <c r="V15" i="1"/>
  <c r="V10" i="1"/>
  <c r="AA6" i="1"/>
  <c r="AA7" i="1"/>
  <c r="AA8" i="1"/>
  <c r="AA9" i="1"/>
  <c r="AA10" i="1"/>
  <c r="AA11" i="1"/>
  <c r="V6" i="1"/>
  <c r="V7" i="1"/>
  <c r="V8" i="1"/>
  <c r="V9" i="1"/>
  <c r="V11" i="1"/>
  <c r="AA5" i="1"/>
  <c r="V5" i="1"/>
  <c r="AB6" i="1" l="1"/>
  <c r="F5" i="5"/>
  <c r="AB7" i="1"/>
  <c r="F6" i="5"/>
  <c r="AB5" i="1"/>
  <c r="F4" i="5"/>
  <c r="AB9" i="1"/>
  <c r="F8" i="5"/>
  <c r="AB8" i="1"/>
  <c r="F7" i="5"/>
  <c r="AB11" i="1"/>
  <c r="F10" i="5"/>
  <c r="AB10" i="1"/>
  <c r="F9" i="5"/>
  <c r="W16" i="1"/>
  <c r="I16" i="1"/>
  <c r="W17" i="1"/>
  <c r="I17" i="1"/>
  <c r="W18" i="1"/>
  <c r="I18" i="1"/>
  <c r="W19" i="1"/>
  <c r="I19" i="1"/>
  <c r="W20" i="1"/>
  <c r="I20" i="1"/>
  <c r="W11" i="1"/>
  <c r="I11" i="1"/>
  <c r="W9" i="1"/>
  <c r="I9" i="1"/>
  <c r="W8" i="1"/>
  <c r="I8" i="1"/>
  <c r="W21" i="1"/>
  <c r="I21" i="1"/>
  <c r="W6" i="1"/>
  <c r="I6" i="1"/>
  <c r="W15" i="1"/>
  <c r="I15" i="1"/>
  <c r="W7" i="1"/>
  <c r="I7" i="1"/>
  <c r="W10" i="1"/>
  <c r="I10" i="1"/>
  <c r="I5" i="1"/>
  <c r="W5" i="1"/>
  <c r="Q527" i="5" l="1"/>
  <c r="Q517" i="5"/>
  <c r="Q507" i="5"/>
  <c r="Q497" i="5"/>
  <c r="Q487" i="5"/>
  <c r="Q477" i="5"/>
  <c r="Q467" i="5"/>
  <c r="P527" i="5"/>
  <c r="P517" i="5"/>
  <c r="P507" i="5"/>
  <c r="P497" i="5"/>
  <c r="P487" i="5"/>
  <c r="P477" i="5"/>
  <c r="P467" i="5"/>
  <c r="O527" i="5"/>
  <c r="O517" i="5"/>
  <c r="O507" i="5"/>
  <c r="O497" i="5"/>
  <c r="O487" i="5"/>
  <c r="O477" i="5"/>
  <c r="O467" i="5"/>
  <c r="O457" i="5"/>
  <c r="O447" i="5"/>
  <c r="O437" i="5"/>
  <c r="O427" i="5"/>
  <c r="O417" i="5"/>
  <c r="O407" i="5"/>
  <c r="O397" i="5"/>
  <c r="O387" i="5"/>
  <c r="O377" i="5"/>
  <c r="O367" i="5"/>
  <c r="O357" i="5"/>
  <c r="O347" i="5"/>
  <c r="O337" i="5"/>
  <c r="O327" i="5"/>
  <c r="O317" i="5"/>
  <c r="O307" i="5"/>
  <c r="O297" i="5"/>
  <c r="O287" i="5"/>
  <c r="O277" i="5"/>
  <c r="O267" i="5"/>
  <c r="O257" i="5"/>
  <c r="O247" i="5"/>
  <c r="O237" i="5"/>
  <c r="O227" i="5"/>
  <c r="O217" i="5"/>
  <c r="O207" i="5"/>
  <c r="O197" i="5"/>
  <c r="O187" i="5"/>
  <c r="O177" i="5"/>
  <c r="O167" i="5"/>
  <c r="O157" i="5"/>
  <c r="O147" i="5"/>
  <c r="O137" i="5"/>
  <c r="O127" i="5"/>
  <c r="O117" i="5"/>
  <c r="O107" i="5"/>
  <c r="O97" i="5"/>
  <c r="O87" i="5"/>
  <c r="O77" i="5"/>
  <c r="O67" i="5"/>
  <c r="O57" i="5"/>
  <c r="O47" i="5"/>
  <c r="O37" i="5"/>
  <c r="O27" i="5"/>
  <c r="O17" i="5"/>
  <c r="N527" i="5"/>
  <c r="N517" i="5"/>
  <c r="N507" i="5"/>
  <c r="N497" i="5"/>
  <c r="N487" i="5"/>
  <c r="N477" i="5"/>
  <c r="N467" i="5"/>
  <c r="N457" i="5"/>
  <c r="N447" i="5"/>
  <c r="N437" i="5"/>
  <c r="N427" i="5"/>
  <c r="N417" i="5"/>
  <c r="N407" i="5"/>
  <c r="N397" i="5"/>
  <c r="N387" i="5"/>
  <c r="N377" i="5"/>
  <c r="N367" i="5"/>
  <c r="N357" i="5"/>
  <c r="N347" i="5"/>
  <c r="N337" i="5"/>
  <c r="N327" i="5"/>
  <c r="N317" i="5"/>
  <c r="N307" i="5"/>
  <c r="N297" i="5"/>
  <c r="N287" i="5"/>
  <c r="N277" i="5"/>
  <c r="N267" i="5"/>
  <c r="N257" i="5"/>
  <c r="N247" i="5"/>
  <c r="N237" i="5"/>
  <c r="N227" i="5"/>
  <c r="N217" i="5"/>
  <c r="N207" i="5"/>
  <c r="Q526" i="5"/>
  <c r="Q506" i="5"/>
  <c r="Q486" i="5"/>
  <c r="Q466" i="5"/>
  <c r="O456" i="5"/>
  <c r="Q437" i="5"/>
  <c r="Q426" i="5"/>
  <c r="O416" i="5"/>
  <c r="Q397" i="5"/>
  <c r="Q386" i="5"/>
  <c r="O376" i="5"/>
  <c r="Q357" i="5"/>
  <c r="Q346" i="5"/>
  <c r="O336" i="5"/>
  <c r="Q317" i="5"/>
  <c r="Q306" i="5"/>
  <c r="O296" i="5"/>
  <c r="Q277" i="5"/>
  <c r="Q266" i="5"/>
  <c r="O256" i="5"/>
  <c r="Q237" i="5"/>
  <c r="Q226" i="5"/>
  <c r="O216" i="5"/>
  <c r="Q197" i="5"/>
  <c r="P187" i="5"/>
  <c r="N177" i="5"/>
  <c r="Q166" i="5"/>
  <c r="P156" i="5"/>
  <c r="O146" i="5"/>
  <c r="N136" i="5"/>
  <c r="Q117" i="5"/>
  <c r="P107" i="5"/>
  <c r="N97" i="5"/>
  <c r="Q86" i="5"/>
  <c r="P76" i="5"/>
  <c r="O66" i="5"/>
  <c r="N56" i="5"/>
  <c r="Q37" i="5"/>
  <c r="P27" i="5"/>
  <c r="N17" i="5"/>
  <c r="P476" i="5"/>
  <c r="P77" i="5"/>
  <c r="P526" i="5"/>
  <c r="P506" i="5"/>
  <c r="P486" i="5"/>
  <c r="P466" i="5"/>
  <c r="N456" i="5"/>
  <c r="P437" i="5"/>
  <c r="P426" i="5"/>
  <c r="N416" i="5"/>
  <c r="P397" i="5"/>
  <c r="P386" i="5"/>
  <c r="N376" i="5"/>
  <c r="P357" i="5"/>
  <c r="P346" i="5"/>
  <c r="N336" i="5"/>
  <c r="P317" i="5"/>
  <c r="P306" i="5"/>
  <c r="N296" i="5"/>
  <c r="P277" i="5"/>
  <c r="P266" i="5"/>
  <c r="N256" i="5"/>
  <c r="P237" i="5"/>
  <c r="P226" i="5"/>
  <c r="N216" i="5"/>
  <c r="P197" i="5"/>
  <c r="N187" i="5"/>
  <c r="Q176" i="5"/>
  <c r="P166" i="5"/>
  <c r="O156" i="5"/>
  <c r="N146" i="5"/>
  <c r="Q127" i="5"/>
  <c r="P117" i="5"/>
  <c r="N107" i="5"/>
  <c r="Q96" i="5"/>
  <c r="P86" i="5"/>
  <c r="O76" i="5"/>
  <c r="N66" i="5"/>
  <c r="Q47" i="5"/>
  <c r="P37" i="5"/>
  <c r="N27" i="5"/>
  <c r="Q16" i="5"/>
  <c r="P496" i="5"/>
  <c r="N67" i="5"/>
  <c r="O526" i="5"/>
  <c r="O506" i="5"/>
  <c r="O486" i="5"/>
  <c r="O466" i="5"/>
  <c r="Q447" i="5"/>
  <c r="Q436" i="5"/>
  <c r="O426" i="5"/>
  <c r="Q407" i="5"/>
  <c r="Q396" i="5"/>
  <c r="O386" i="5"/>
  <c r="Q367" i="5"/>
  <c r="Q356" i="5"/>
  <c r="O346" i="5"/>
  <c r="Q327" i="5"/>
  <c r="Q316" i="5"/>
  <c r="O306" i="5"/>
  <c r="Q287" i="5"/>
  <c r="Q276" i="5"/>
  <c r="O266" i="5"/>
  <c r="Q247" i="5"/>
  <c r="Q236" i="5"/>
  <c r="O226" i="5"/>
  <c r="Q207" i="5"/>
  <c r="N197" i="5"/>
  <c r="Q186" i="5"/>
  <c r="P176" i="5"/>
  <c r="O166" i="5"/>
  <c r="N156" i="5"/>
  <c r="Q137" i="5"/>
  <c r="P127" i="5"/>
  <c r="N117" i="5"/>
  <c r="Q106" i="5"/>
  <c r="P96" i="5"/>
  <c r="O86" i="5"/>
  <c r="N76" i="5"/>
  <c r="Q57" i="5"/>
  <c r="P47" i="5"/>
  <c r="N37" i="5"/>
  <c r="Q26" i="5"/>
  <c r="P16" i="5"/>
  <c r="N526" i="5"/>
  <c r="N506" i="5"/>
  <c r="N486" i="5"/>
  <c r="N466" i="5"/>
  <c r="P447" i="5"/>
  <c r="P436" i="5"/>
  <c r="N426" i="5"/>
  <c r="P407" i="5"/>
  <c r="P396" i="5"/>
  <c r="N386" i="5"/>
  <c r="P367" i="5"/>
  <c r="P356" i="5"/>
  <c r="N346" i="5"/>
  <c r="P327" i="5"/>
  <c r="P316" i="5"/>
  <c r="N306" i="5"/>
  <c r="P287" i="5"/>
  <c r="P276" i="5"/>
  <c r="N266" i="5"/>
  <c r="P247" i="5"/>
  <c r="P236" i="5"/>
  <c r="N226" i="5"/>
  <c r="P207" i="5"/>
  <c r="Q196" i="5"/>
  <c r="P186" i="5"/>
  <c r="O176" i="5"/>
  <c r="N166" i="5"/>
  <c r="Q147" i="5"/>
  <c r="P137" i="5"/>
  <c r="N127" i="5"/>
  <c r="Q116" i="5"/>
  <c r="P106" i="5"/>
  <c r="O96" i="5"/>
  <c r="N86" i="5"/>
  <c r="Q67" i="5"/>
  <c r="P57" i="5"/>
  <c r="N47" i="5"/>
  <c r="Q36" i="5"/>
  <c r="P26" i="5"/>
  <c r="O16" i="5"/>
  <c r="Q516" i="5"/>
  <c r="Q496" i="5"/>
  <c r="Q476" i="5"/>
  <c r="Q457" i="5"/>
  <c r="Q446" i="5"/>
  <c r="O436" i="5"/>
  <c r="Q417" i="5"/>
  <c r="Q406" i="5"/>
  <c r="O396" i="5"/>
  <c r="Q377" i="5"/>
  <c r="Q366" i="5"/>
  <c r="O356" i="5"/>
  <c r="Q337" i="5"/>
  <c r="Q326" i="5"/>
  <c r="O316" i="5"/>
  <c r="Q297" i="5"/>
  <c r="Q286" i="5"/>
  <c r="O276" i="5"/>
  <c r="Q257" i="5"/>
  <c r="Q246" i="5"/>
  <c r="O236" i="5"/>
  <c r="Q217" i="5"/>
  <c r="Q206" i="5"/>
  <c r="P196" i="5"/>
  <c r="O186" i="5"/>
  <c r="N176" i="5"/>
  <c r="Q157" i="5"/>
  <c r="P147" i="5"/>
  <c r="N137" i="5"/>
  <c r="Q126" i="5"/>
  <c r="P116" i="5"/>
  <c r="O106" i="5"/>
  <c r="N96" i="5"/>
  <c r="Q77" i="5"/>
  <c r="P67" i="5"/>
  <c r="N57" i="5"/>
  <c r="Q46" i="5"/>
  <c r="P36" i="5"/>
  <c r="O26" i="5"/>
  <c r="N16" i="5"/>
  <c r="P516" i="5"/>
  <c r="P457" i="5"/>
  <c r="P446" i="5"/>
  <c r="N436" i="5"/>
  <c r="P417" i="5"/>
  <c r="P406" i="5"/>
  <c r="N396" i="5"/>
  <c r="P377" i="5"/>
  <c r="P366" i="5"/>
  <c r="N356" i="5"/>
  <c r="P337" i="5"/>
  <c r="P326" i="5"/>
  <c r="N316" i="5"/>
  <c r="P297" i="5"/>
  <c r="P286" i="5"/>
  <c r="N276" i="5"/>
  <c r="P257" i="5"/>
  <c r="P246" i="5"/>
  <c r="N236" i="5"/>
  <c r="P217" i="5"/>
  <c r="P206" i="5"/>
  <c r="O196" i="5"/>
  <c r="N186" i="5"/>
  <c r="Q167" i="5"/>
  <c r="P157" i="5"/>
  <c r="N147" i="5"/>
  <c r="Q136" i="5"/>
  <c r="P126" i="5"/>
  <c r="O116" i="5"/>
  <c r="N106" i="5"/>
  <c r="Q87" i="5"/>
  <c r="Q56" i="5"/>
  <c r="P46" i="5"/>
  <c r="O36" i="5"/>
  <c r="N26" i="5"/>
  <c r="O516" i="5"/>
  <c r="Q456" i="5"/>
  <c r="O446" i="5"/>
  <c r="Q427" i="5"/>
  <c r="Q416" i="5"/>
  <c r="O406" i="5"/>
  <c r="Q387" i="5"/>
  <c r="Q376" i="5"/>
  <c r="O366" i="5"/>
  <c r="Q347" i="5"/>
  <c r="Q336" i="5"/>
  <c r="O326" i="5"/>
  <c r="Q307" i="5"/>
  <c r="Q296" i="5"/>
  <c r="O286" i="5"/>
  <c r="N516" i="5"/>
  <c r="P416" i="5"/>
  <c r="P307" i="5"/>
  <c r="N246" i="5"/>
  <c r="Q187" i="5"/>
  <c r="P146" i="5"/>
  <c r="P97" i="5"/>
  <c r="O56" i="5"/>
  <c r="N496" i="5"/>
  <c r="N286" i="5"/>
  <c r="P227" i="5"/>
  <c r="P177" i="5"/>
  <c r="O136" i="5"/>
  <c r="N87" i="5"/>
  <c r="N46" i="5"/>
  <c r="O476" i="5"/>
  <c r="Q267" i="5"/>
  <c r="Q216" i="5"/>
  <c r="P167" i="5"/>
  <c r="O126" i="5"/>
  <c r="N77" i="5"/>
  <c r="N36" i="5"/>
  <c r="N476" i="5"/>
  <c r="P267" i="5"/>
  <c r="P216" i="5"/>
  <c r="N167" i="5"/>
  <c r="N126" i="5"/>
  <c r="Q76" i="5"/>
  <c r="Q27" i="5"/>
  <c r="P456" i="5"/>
  <c r="P347" i="5"/>
  <c r="Q256" i="5"/>
  <c r="O206" i="5"/>
  <c r="N157" i="5"/>
  <c r="Q66" i="5"/>
  <c r="Q17" i="5"/>
  <c r="N446" i="5"/>
  <c r="P336" i="5"/>
  <c r="P256" i="5"/>
  <c r="N206" i="5"/>
  <c r="Q156" i="5"/>
  <c r="Q107" i="5"/>
  <c r="P17" i="5"/>
  <c r="P427" i="5"/>
  <c r="N326" i="5"/>
  <c r="O246" i="5"/>
  <c r="N196" i="5"/>
  <c r="Q146" i="5"/>
  <c r="Q97" i="5"/>
  <c r="O496" i="5"/>
  <c r="N406" i="5"/>
  <c r="P296" i="5"/>
  <c r="Q227" i="5"/>
  <c r="Q177" i="5"/>
  <c r="P136" i="5"/>
  <c r="P87" i="5"/>
  <c r="O46" i="5"/>
  <c r="P387" i="5"/>
  <c r="P376" i="5"/>
  <c r="N366" i="5"/>
  <c r="N116" i="5"/>
  <c r="P66" i="5"/>
  <c r="P56" i="5"/>
  <c r="Q7" i="5"/>
  <c r="O7" i="5"/>
  <c r="P7" i="5"/>
  <c r="N7" i="5"/>
  <c r="Q6" i="5"/>
  <c r="P6" i="5"/>
  <c r="O6" i="5"/>
  <c r="N6" i="5"/>
  <c r="R6" i="4"/>
  <c r="J4" i="4"/>
  <c r="R5" i="4"/>
  <c r="AF485" i="1"/>
  <c r="AF465" i="1"/>
  <c r="AF475" i="1"/>
  <c r="AF415" i="1"/>
  <c r="AF455" i="1"/>
  <c r="AF405" i="1"/>
  <c r="AF395" i="1"/>
  <c r="AF385" i="1"/>
  <c r="AF375" i="1"/>
  <c r="AF365" i="1"/>
  <c r="AF355" i="1"/>
  <c r="AF265" i="1" l="1"/>
  <c r="AF255" i="1"/>
  <c r="AF235" i="1"/>
  <c r="AF85" i="1"/>
  <c r="AF95" i="1"/>
  <c r="AF115" i="1"/>
  <c r="AF125" i="1"/>
  <c r="AF126" i="1"/>
  <c r="AF145" i="1"/>
  <c r="AF165" i="1"/>
  <c r="AF195" i="1"/>
  <c r="AF48" i="1"/>
  <c r="AF49" i="1"/>
  <c r="AF45" i="1"/>
  <c r="AF25" i="1"/>
  <c r="AF35" i="1"/>
  <c r="AF495" i="1" l="1"/>
  <c r="AF445" i="1" l="1"/>
  <c r="AF425" i="1"/>
  <c r="AF435" i="1" l="1"/>
  <c r="AF215" i="1" l="1"/>
  <c r="AF175" i="1" l="1"/>
  <c r="AF305" i="1" l="1"/>
  <c r="AF105" i="1"/>
  <c r="AF65" i="1"/>
  <c r="AF75" i="1"/>
  <c r="AF55" i="1"/>
  <c r="AF335" i="1"/>
  <c r="AF325" i="1"/>
  <c r="AF315" i="1"/>
  <c r="AF295" i="1"/>
  <c r="AF285" i="1"/>
  <c r="AF275" i="1"/>
  <c r="AF225" i="1"/>
  <c r="AF135" i="1"/>
  <c r="E37" i="3" l="1"/>
  <c r="E36" i="3"/>
  <c r="E35" i="3"/>
  <c r="E33" i="3"/>
  <c r="E30" i="3"/>
  <c r="L5" i="1" s="1"/>
  <c r="N5" i="1" s="1"/>
  <c r="E29" i="3"/>
  <c r="E28" i="3"/>
  <c r="L89" i="1" s="1"/>
  <c r="N89" i="1" s="1"/>
  <c r="E25" i="3"/>
  <c r="L79" i="1" s="1"/>
  <c r="N79" i="1" s="1"/>
  <c r="E24" i="3"/>
  <c r="AF531" i="1"/>
  <c r="O531" i="1"/>
  <c r="P531" i="1" s="1"/>
  <c r="K531" i="1"/>
  <c r="G531" i="1"/>
  <c r="AK530" i="1" s="1" a="1"/>
  <c r="AK530" i="1" s="1"/>
  <c r="AL530" i="1" s="1"/>
  <c r="AF530" i="1"/>
  <c r="AE530" i="1"/>
  <c r="O530" i="1"/>
  <c r="P530" i="1" s="1"/>
  <c r="K530" i="1"/>
  <c r="G530" i="1"/>
  <c r="AK529" i="1" s="1" a="1"/>
  <c r="AK529" i="1" s="1"/>
  <c r="AL529" i="1" s="1"/>
  <c r="AF529" i="1"/>
  <c r="O529" i="1"/>
  <c r="P529" i="1" s="1"/>
  <c r="K529" i="1"/>
  <c r="G529" i="1"/>
  <c r="AK528" i="1" s="1" a="1"/>
  <c r="AK528" i="1" s="1"/>
  <c r="AL528" i="1" s="1"/>
  <c r="AF528" i="1"/>
  <c r="O528" i="1"/>
  <c r="P528" i="1" s="1"/>
  <c r="K528" i="1"/>
  <c r="G528" i="1"/>
  <c r="AK527" i="1" s="1" a="1"/>
  <c r="AK527" i="1" s="1"/>
  <c r="AL527" i="1" s="1"/>
  <c r="AF527" i="1"/>
  <c r="O527" i="1"/>
  <c r="P527" i="1" s="1"/>
  <c r="K527" i="1"/>
  <c r="G527" i="1"/>
  <c r="AK526" i="1" s="1" a="1"/>
  <c r="AK526" i="1" s="1"/>
  <c r="AL526" i="1" s="1"/>
  <c r="AF526" i="1"/>
  <c r="O526" i="1"/>
  <c r="P526" i="1" s="1"/>
  <c r="K526" i="1"/>
  <c r="G526" i="1"/>
  <c r="AK525" i="1" s="1" a="1"/>
  <c r="AK525" i="1" s="1"/>
  <c r="AL525" i="1" s="1"/>
  <c r="AF525" i="1"/>
  <c r="O525" i="1"/>
  <c r="P525" i="1" s="1"/>
  <c r="K525" i="1"/>
  <c r="G525" i="1"/>
  <c r="E525" i="1"/>
  <c r="C524" i="5" s="1"/>
  <c r="C525" i="5" s="1"/>
  <c r="AF521" i="1"/>
  <c r="O521" i="1"/>
  <c r="P521" i="1" s="1"/>
  <c r="L521" i="1"/>
  <c r="N521" i="1" s="1"/>
  <c r="K521" i="1"/>
  <c r="G521" i="1"/>
  <c r="AK520" i="1" s="1" a="1"/>
  <c r="AK520" i="1" s="1"/>
  <c r="AL520" i="1" s="1"/>
  <c r="AF520" i="1"/>
  <c r="AE520" i="1"/>
  <c r="O520" i="1"/>
  <c r="P520" i="1" s="1"/>
  <c r="L520" i="1"/>
  <c r="N520" i="1" s="1"/>
  <c r="K520" i="1"/>
  <c r="G520" i="1"/>
  <c r="AK519" i="1" s="1" a="1"/>
  <c r="AK519" i="1" s="1"/>
  <c r="AL519" i="1" s="1"/>
  <c r="AF519" i="1"/>
  <c r="O519" i="1"/>
  <c r="P519" i="1" s="1"/>
  <c r="L519" i="1"/>
  <c r="N519" i="1" s="1"/>
  <c r="AF518" i="1"/>
  <c r="O518" i="1"/>
  <c r="P518" i="1" s="1"/>
  <c r="L518" i="1"/>
  <c r="N518" i="1" s="1"/>
  <c r="AF517" i="1"/>
  <c r="AF516" i="1"/>
  <c r="O516" i="1"/>
  <c r="P516" i="1" s="1"/>
  <c r="L516" i="1"/>
  <c r="N516" i="1" s="1"/>
  <c r="AF515" i="1"/>
  <c r="O515" i="1"/>
  <c r="P515" i="1" s="1"/>
  <c r="L515" i="1"/>
  <c r="K515" i="1"/>
  <c r="G515" i="1"/>
  <c r="E515" i="1"/>
  <c r="C514" i="5" s="1"/>
  <c r="C515" i="5" s="1"/>
  <c r="C516" i="5" s="1"/>
  <c r="C517" i="5" s="1"/>
  <c r="C518" i="5" s="1"/>
  <c r="C519" i="5" s="1"/>
  <c r="C520" i="5" s="1"/>
  <c r="AF511" i="1"/>
  <c r="O511" i="1"/>
  <c r="P511" i="1" s="1"/>
  <c r="L511" i="1"/>
  <c r="N511" i="1" s="1"/>
  <c r="K511" i="1"/>
  <c r="G511" i="1"/>
  <c r="AK510" i="1" s="1" a="1"/>
  <c r="AK510" i="1" s="1"/>
  <c r="AL510" i="1" s="1"/>
  <c r="AF510" i="1"/>
  <c r="AE510" i="1"/>
  <c r="O510" i="1"/>
  <c r="P510" i="1" s="1"/>
  <c r="L510" i="1"/>
  <c r="N510" i="1" s="1"/>
  <c r="K510" i="1"/>
  <c r="G510" i="1"/>
  <c r="AK509" i="1" s="1" a="1"/>
  <c r="AK509" i="1" s="1"/>
  <c r="AL509" i="1" s="1"/>
  <c r="AF509" i="1"/>
  <c r="O509" i="1"/>
  <c r="P509" i="1" s="1"/>
  <c r="L509" i="1"/>
  <c r="N509" i="1" s="1"/>
  <c r="AF508" i="1"/>
  <c r="O508" i="1"/>
  <c r="P508" i="1" s="1"/>
  <c r="L508" i="1"/>
  <c r="N508" i="1" s="1"/>
  <c r="AF507" i="1"/>
  <c r="O507" i="1"/>
  <c r="P507" i="1" s="1"/>
  <c r="L507" i="1"/>
  <c r="N507" i="1" s="1"/>
  <c r="AF506" i="1"/>
  <c r="O506" i="1"/>
  <c r="P506" i="1" s="1"/>
  <c r="L506" i="1"/>
  <c r="N506" i="1" s="1"/>
  <c r="AF505" i="1"/>
  <c r="O505" i="1"/>
  <c r="P505" i="1" s="1"/>
  <c r="L505" i="1"/>
  <c r="N505" i="1" s="1"/>
  <c r="E505" i="1"/>
  <c r="C504" i="5" s="1"/>
  <c r="C505" i="5" s="1"/>
  <c r="C506" i="5" s="1"/>
  <c r="C507" i="5" s="1"/>
  <c r="C508" i="5" s="1"/>
  <c r="C509" i="5" s="1"/>
  <c r="C510" i="5" s="1"/>
  <c r="AF501" i="1"/>
  <c r="O501" i="1"/>
  <c r="P501" i="1" s="1"/>
  <c r="L501" i="1"/>
  <c r="N501" i="1" s="1"/>
  <c r="K501" i="1"/>
  <c r="G501" i="1"/>
  <c r="AK500" i="1" s="1" a="1"/>
  <c r="AK500" i="1" s="1"/>
  <c r="AL500" i="1" s="1"/>
  <c r="AF500" i="1"/>
  <c r="AE500" i="1"/>
  <c r="O500" i="1"/>
  <c r="P500" i="1" s="1"/>
  <c r="L500" i="1"/>
  <c r="N500" i="1" s="1"/>
  <c r="K500" i="1"/>
  <c r="G500" i="1"/>
  <c r="AK499" i="1" s="1" a="1"/>
  <c r="AK499" i="1" s="1"/>
  <c r="AL499" i="1" s="1"/>
  <c r="AF499" i="1"/>
  <c r="O499" i="1"/>
  <c r="P499" i="1" s="1"/>
  <c r="L499" i="1"/>
  <c r="N499" i="1" s="1"/>
  <c r="AF498" i="1"/>
  <c r="O498" i="1"/>
  <c r="P498" i="1" s="1"/>
  <c r="L498" i="1"/>
  <c r="N498" i="1" s="1"/>
  <c r="AF497" i="1"/>
  <c r="O497" i="1"/>
  <c r="P497" i="1" s="1"/>
  <c r="L497" i="1"/>
  <c r="N497" i="1" s="1"/>
  <c r="AF496" i="1"/>
  <c r="O496" i="1"/>
  <c r="P496" i="1" s="1"/>
  <c r="L496" i="1"/>
  <c r="N496" i="1" s="1"/>
  <c r="O495" i="1"/>
  <c r="P495" i="1" s="1"/>
  <c r="L495" i="1"/>
  <c r="N495" i="1" s="1"/>
  <c r="E495" i="1"/>
  <c r="C494" i="5" s="1"/>
  <c r="C495" i="5" s="1"/>
  <c r="C496" i="5" s="1"/>
  <c r="C497" i="5" s="1"/>
  <c r="C498" i="5" s="1"/>
  <c r="C499" i="5" s="1"/>
  <c r="C500" i="5" s="1"/>
  <c r="AF491" i="1"/>
  <c r="O491" i="1"/>
  <c r="P491" i="1" s="1"/>
  <c r="L491" i="1"/>
  <c r="N491" i="1" s="1"/>
  <c r="K491" i="1"/>
  <c r="G491" i="1"/>
  <c r="AK490" i="1" s="1" a="1"/>
  <c r="AK490" i="1" s="1"/>
  <c r="AL490" i="1" s="1"/>
  <c r="AF490" i="1"/>
  <c r="AE490" i="1"/>
  <c r="O490" i="1"/>
  <c r="P490" i="1" s="1"/>
  <c r="L490" i="1"/>
  <c r="N490" i="1" s="1"/>
  <c r="K490" i="1"/>
  <c r="G490" i="1"/>
  <c r="AK489" i="1" s="1" a="1"/>
  <c r="AK489" i="1" s="1"/>
  <c r="AL489" i="1" s="1"/>
  <c r="AF489" i="1"/>
  <c r="O489" i="1"/>
  <c r="P489" i="1" s="1"/>
  <c r="L489" i="1"/>
  <c r="N489" i="1" s="1"/>
  <c r="AF488" i="1"/>
  <c r="O488" i="1"/>
  <c r="P488" i="1" s="1"/>
  <c r="L488" i="1"/>
  <c r="N488" i="1" s="1"/>
  <c r="AF487" i="1"/>
  <c r="O487" i="1"/>
  <c r="P487" i="1" s="1"/>
  <c r="L487" i="1"/>
  <c r="N487" i="1" s="1"/>
  <c r="AF486" i="1"/>
  <c r="O486" i="1"/>
  <c r="P486" i="1" s="1"/>
  <c r="L486" i="1"/>
  <c r="N486" i="1" s="1"/>
  <c r="O485" i="1"/>
  <c r="P485" i="1" s="1"/>
  <c r="L485" i="1"/>
  <c r="N485" i="1" s="1"/>
  <c r="E486" i="1"/>
  <c r="AF481" i="1"/>
  <c r="O481" i="1"/>
  <c r="P481" i="1" s="1"/>
  <c r="L481" i="1"/>
  <c r="N481" i="1" s="1"/>
  <c r="K481" i="1"/>
  <c r="G481" i="1"/>
  <c r="AK480" i="1" s="1" a="1"/>
  <c r="AK480" i="1" s="1"/>
  <c r="AL480" i="1" s="1"/>
  <c r="AF480" i="1"/>
  <c r="AE480" i="1"/>
  <c r="O480" i="1"/>
  <c r="P480" i="1" s="1"/>
  <c r="L480" i="1"/>
  <c r="N480" i="1" s="1"/>
  <c r="K480" i="1"/>
  <c r="G480" i="1"/>
  <c r="AK479" i="1" s="1" a="1"/>
  <c r="AK479" i="1" s="1"/>
  <c r="AL479" i="1" s="1"/>
  <c r="AF479" i="1"/>
  <c r="O479" i="1"/>
  <c r="P479" i="1" s="1"/>
  <c r="L479" i="1"/>
  <c r="N479" i="1" s="1"/>
  <c r="AF478" i="1"/>
  <c r="O478" i="1"/>
  <c r="P478" i="1" s="1"/>
  <c r="L478" i="1"/>
  <c r="N478" i="1" s="1"/>
  <c r="AF477" i="1"/>
  <c r="O477" i="1"/>
  <c r="P477" i="1" s="1"/>
  <c r="L477" i="1"/>
  <c r="N477" i="1" s="1"/>
  <c r="AF476" i="1"/>
  <c r="O476" i="1"/>
  <c r="P476" i="1" s="1"/>
  <c r="L476" i="1"/>
  <c r="N476" i="1" s="1"/>
  <c r="O475" i="1"/>
  <c r="P475" i="1" s="1"/>
  <c r="L475" i="1"/>
  <c r="N475" i="1" s="1"/>
  <c r="E475" i="1"/>
  <c r="C474" i="5" s="1"/>
  <c r="C475" i="5" s="1"/>
  <c r="C476" i="5" s="1"/>
  <c r="C477" i="5" s="1"/>
  <c r="C478" i="5" s="1"/>
  <c r="C479" i="5" s="1"/>
  <c r="C480" i="5" s="1"/>
  <c r="AF471" i="1"/>
  <c r="O471" i="1"/>
  <c r="P471" i="1" s="1"/>
  <c r="L471" i="1"/>
  <c r="N471" i="1" s="1"/>
  <c r="K471" i="1"/>
  <c r="G471" i="1"/>
  <c r="AK470" i="1" s="1" a="1"/>
  <c r="AK470" i="1" s="1"/>
  <c r="AL470" i="1" s="1"/>
  <c r="AF470" i="1"/>
  <c r="AE470" i="1"/>
  <c r="O470" i="1"/>
  <c r="P470" i="1" s="1"/>
  <c r="L470" i="1"/>
  <c r="N470" i="1" s="1"/>
  <c r="AF469" i="1"/>
  <c r="O469" i="1"/>
  <c r="P469" i="1" s="1"/>
  <c r="L469" i="1"/>
  <c r="N469" i="1" s="1"/>
  <c r="AF468" i="1"/>
  <c r="O468" i="1"/>
  <c r="P468" i="1" s="1"/>
  <c r="L468" i="1"/>
  <c r="N468" i="1" s="1"/>
  <c r="AF467" i="1"/>
  <c r="O467" i="1"/>
  <c r="P467" i="1" s="1"/>
  <c r="L467" i="1"/>
  <c r="N467" i="1" s="1"/>
  <c r="AF466" i="1"/>
  <c r="O466" i="1"/>
  <c r="P466" i="1" s="1"/>
  <c r="L466" i="1"/>
  <c r="N466" i="1" s="1"/>
  <c r="O465" i="1"/>
  <c r="P465" i="1" s="1"/>
  <c r="L465" i="1"/>
  <c r="N465" i="1" s="1"/>
  <c r="E465" i="1"/>
  <c r="C464" i="5" s="1"/>
  <c r="C465" i="5" s="1"/>
  <c r="C466" i="5" s="1"/>
  <c r="C467" i="5" s="1"/>
  <c r="C468" i="5" s="1"/>
  <c r="C469" i="5" s="1"/>
  <c r="C470" i="5" s="1"/>
  <c r="AF461" i="1"/>
  <c r="O461" i="1"/>
  <c r="P461" i="1" s="1"/>
  <c r="L461" i="1"/>
  <c r="N461" i="1" s="1"/>
  <c r="K461" i="1"/>
  <c r="G461" i="1"/>
  <c r="AK460" i="1" s="1" a="1"/>
  <c r="AK460" i="1" s="1"/>
  <c r="AL460" i="1" s="1"/>
  <c r="AF460" i="1"/>
  <c r="AE460" i="1"/>
  <c r="O460" i="1"/>
  <c r="P460" i="1" s="1"/>
  <c r="L460" i="1"/>
  <c r="N460" i="1" s="1"/>
  <c r="AF459" i="1"/>
  <c r="O459" i="1"/>
  <c r="P459" i="1" s="1"/>
  <c r="L459" i="1"/>
  <c r="N459" i="1" s="1"/>
  <c r="AF458" i="1"/>
  <c r="O458" i="1"/>
  <c r="P458" i="1" s="1"/>
  <c r="L458" i="1"/>
  <c r="N458" i="1" s="1"/>
  <c r="AF457" i="1"/>
  <c r="O457" i="1"/>
  <c r="P457" i="1" s="1"/>
  <c r="L457" i="1"/>
  <c r="N457" i="1" s="1"/>
  <c r="AF456" i="1"/>
  <c r="O456" i="1"/>
  <c r="P456" i="1" s="1"/>
  <c r="L456" i="1"/>
  <c r="N456" i="1" s="1"/>
  <c r="E455" i="1"/>
  <c r="C454" i="5" s="1"/>
  <c r="C455" i="5" s="1"/>
  <c r="C456" i="5" s="1"/>
  <c r="C457" i="5" s="1"/>
  <c r="C458" i="5" s="1"/>
  <c r="C459" i="5" s="1"/>
  <c r="C460" i="5" s="1"/>
  <c r="AF451" i="1"/>
  <c r="O451" i="1"/>
  <c r="P451" i="1" s="1"/>
  <c r="L451" i="1"/>
  <c r="N451" i="1" s="1"/>
  <c r="K451" i="1"/>
  <c r="G451" i="1"/>
  <c r="AK450" i="1" s="1" a="1"/>
  <c r="AK450" i="1" s="1"/>
  <c r="AL450" i="1" s="1"/>
  <c r="AF450" i="1"/>
  <c r="AE450" i="1"/>
  <c r="O450" i="1"/>
  <c r="P450" i="1" s="1"/>
  <c r="L450" i="1"/>
  <c r="N450" i="1" s="1"/>
  <c r="K450" i="1"/>
  <c r="G450" i="1"/>
  <c r="AK449" i="1" s="1" a="1"/>
  <c r="AK449" i="1" s="1"/>
  <c r="AL449" i="1" s="1"/>
  <c r="AF449" i="1"/>
  <c r="O449" i="1"/>
  <c r="P449" i="1" s="1"/>
  <c r="L449" i="1"/>
  <c r="N449" i="1" s="1"/>
  <c r="AF448" i="1"/>
  <c r="O448" i="1"/>
  <c r="P448" i="1" s="1"/>
  <c r="L448" i="1"/>
  <c r="N448" i="1" s="1"/>
  <c r="AF447" i="1"/>
  <c r="O447" i="1"/>
  <c r="P447" i="1" s="1"/>
  <c r="L447" i="1"/>
  <c r="N447" i="1" s="1"/>
  <c r="AF446" i="1"/>
  <c r="O446" i="1"/>
  <c r="P446" i="1" s="1"/>
  <c r="L446" i="1"/>
  <c r="N446" i="1" s="1"/>
  <c r="O445" i="1"/>
  <c r="P445" i="1" s="1"/>
  <c r="L445" i="1"/>
  <c r="N445" i="1" s="1"/>
  <c r="E445" i="1"/>
  <c r="C444" i="5" s="1"/>
  <c r="C445" i="5" s="1"/>
  <c r="C446" i="5" s="1"/>
  <c r="C447" i="5" s="1"/>
  <c r="C448" i="5" s="1"/>
  <c r="C449" i="5" s="1"/>
  <c r="C450" i="5" s="1"/>
  <c r="AF441" i="1"/>
  <c r="O441" i="1"/>
  <c r="P441" i="1" s="1"/>
  <c r="L441" i="1"/>
  <c r="N441" i="1" s="1"/>
  <c r="AF440" i="1"/>
  <c r="AE440" i="1"/>
  <c r="O440" i="1"/>
  <c r="P440" i="1" s="1"/>
  <c r="L440" i="1"/>
  <c r="N440" i="1" s="1"/>
  <c r="AF439" i="1"/>
  <c r="O439" i="1"/>
  <c r="P439" i="1" s="1"/>
  <c r="AF438" i="1"/>
  <c r="O438" i="1"/>
  <c r="P438" i="1" s="1"/>
  <c r="L438" i="1"/>
  <c r="N438" i="1" s="1"/>
  <c r="AF437" i="1"/>
  <c r="O437" i="1"/>
  <c r="P437" i="1" s="1"/>
  <c r="L437" i="1"/>
  <c r="N437" i="1" s="1"/>
  <c r="AF436" i="1"/>
  <c r="O436" i="1"/>
  <c r="P436" i="1" s="1"/>
  <c r="L436" i="1"/>
  <c r="N436" i="1" s="1"/>
  <c r="O435" i="1"/>
  <c r="P435" i="1" s="1"/>
  <c r="L435" i="1"/>
  <c r="N435" i="1" s="1"/>
  <c r="E435" i="1"/>
  <c r="C434" i="5" s="1"/>
  <c r="C435" i="5" s="1"/>
  <c r="C436" i="5" s="1"/>
  <c r="C437" i="5" s="1"/>
  <c r="C438" i="5" s="1"/>
  <c r="C439" i="5" s="1"/>
  <c r="C440" i="5" s="1"/>
  <c r="AF431" i="1"/>
  <c r="O431" i="1"/>
  <c r="P431" i="1" s="1"/>
  <c r="L431" i="1"/>
  <c r="N431" i="1" s="1"/>
  <c r="K431" i="1"/>
  <c r="G431" i="1"/>
  <c r="AK430" i="1" s="1" a="1"/>
  <c r="AK430" i="1" s="1"/>
  <c r="AL430" i="1" s="1"/>
  <c r="AF430" i="1"/>
  <c r="AE430" i="1"/>
  <c r="O430" i="1"/>
  <c r="P430" i="1" s="1"/>
  <c r="L430" i="1"/>
  <c r="N430" i="1" s="1"/>
  <c r="K430" i="1"/>
  <c r="G430" i="1"/>
  <c r="AK429" i="1" s="1" a="1"/>
  <c r="AK429" i="1" s="1"/>
  <c r="AL429" i="1" s="1"/>
  <c r="AF429" i="1"/>
  <c r="O429" i="1"/>
  <c r="P429" i="1" s="1"/>
  <c r="L429" i="1"/>
  <c r="N429" i="1" s="1"/>
  <c r="AF428" i="1"/>
  <c r="O428" i="1"/>
  <c r="P428" i="1" s="1"/>
  <c r="L428" i="1"/>
  <c r="N428" i="1" s="1"/>
  <c r="AF427" i="1"/>
  <c r="O427" i="1"/>
  <c r="P427" i="1" s="1"/>
  <c r="L427" i="1"/>
  <c r="N427" i="1" s="1"/>
  <c r="AF426" i="1"/>
  <c r="O426" i="1"/>
  <c r="P426" i="1" s="1"/>
  <c r="L426" i="1"/>
  <c r="N426" i="1" s="1"/>
  <c r="O425" i="1"/>
  <c r="P425" i="1" s="1"/>
  <c r="L425" i="1"/>
  <c r="N425" i="1" s="1"/>
  <c r="E425" i="1"/>
  <c r="C424" i="5" s="1"/>
  <c r="C425" i="5" s="1"/>
  <c r="C426" i="5" s="1"/>
  <c r="C427" i="5" s="1"/>
  <c r="C428" i="5" s="1"/>
  <c r="C429" i="5" s="1"/>
  <c r="C430" i="5" s="1"/>
  <c r="AF421" i="1"/>
  <c r="O421" i="1"/>
  <c r="P421" i="1" s="1"/>
  <c r="L421" i="1"/>
  <c r="N421" i="1" s="1"/>
  <c r="K421" i="1"/>
  <c r="G421" i="1"/>
  <c r="AK420" i="1" s="1" a="1"/>
  <c r="AK420" i="1" s="1"/>
  <c r="AL420" i="1" s="1"/>
  <c r="AF420" i="1"/>
  <c r="AE420" i="1"/>
  <c r="O420" i="1"/>
  <c r="P420" i="1" s="1"/>
  <c r="L420" i="1"/>
  <c r="N420" i="1" s="1"/>
  <c r="AF419" i="1"/>
  <c r="O419" i="1"/>
  <c r="P419" i="1" s="1"/>
  <c r="L419" i="1"/>
  <c r="N419" i="1" s="1"/>
  <c r="AF418" i="1"/>
  <c r="O418" i="1"/>
  <c r="P418" i="1" s="1"/>
  <c r="L418" i="1"/>
  <c r="N418" i="1" s="1"/>
  <c r="AF417" i="1"/>
  <c r="O417" i="1"/>
  <c r="P417" i="1" s="1"/>
  <c r="L417" i="1"/>
  <c r="N417" i="1" s="1"/>
  <c r="AF416" i="1"/>
  <c r="O416" i="1"/>
  <c r="P416" i="1" s="1"/>
  <c r="L416" i="1"/>
  <c r="N416" i="1" s="1"/>
  <c r="O415" i="1"/>
  <c r="P415" i="1" s="1"/>
  <c r="L415" i="1"/>
  <c r="N415" i="1" s="1"/>
  <c r="E415" i="1"/>
  <c r="C414" i="5" s="1"/>
  <c r="C415" i="5" s="1"/>
  <c r="C416" i="5" s="1"/>
  <c r="C417" i="5" s="1"/>
  <c r="C418" i="5" s="1"/>
  <c r="C419" i="5" s="1"/>
  <c r="C420" i="5" s="1"/>
  <c r="AF411" i="1"/>
  <c r="O411" i="1"/>
  <c r="P411" i="1" s="1"/>
  <c r="L411" i="1"/>
  <c r="N411" i="1" s="1"/>
  <c r="K411" i="1"/>
  <c r="G411" i="1"/>
  <c r="AK410" i="1" s="1" a="1"/>
  <c r="AK410" i="1" s="1"/>
  <c r="AL410" i="1" s="1"/>
  <c r="AF410" i="1"/>
  <c r="AE410" i="1"/>
  <c r="O410" i="1"/>
  <c r="P410" i="1" s="1"/>
  <c r="L410" i="1"/>
  <c r="N410" i="1" s="1"/>
  <c r="K410" i="1"/>
  <c r="G410" i="1"/>
  <c r="AK409" i="1" s="1" a="1"/>
  <c r="AK409" i="1" s="1"/>
  <c r="AL409" i="1" s="1"/>
  <c r="AF409" i="1"/>
  <c r="O409" i="1"/>
  <c r="P409" i="1" s="1"/>
  <c r="L409" i="1"/>
  <c r="N409" i="1" s="1"/>
  <c r="AF408" i="1"/>
  <c r="O408" i="1"/>
  <c r="P408" i="1" s="1"/>
  <c r="L408" i="1"/>
  <c r="N408" i="1" s="1"/>
  <c r="AF407" i="1"/>
  <c r="O407" i="1"/>
  <c r="P407" i="1" s="1"/>
  <c r="L407" i="1"/>
  <c r="N407" i="1" s="1"/>
  <c r="AF406" i="1"/>
  <c r="O406" i="1"/>
  <c r="P406" i="1" s="1"/>
  <c r="L406" i="1"/>
  <c r="N406" i="1" s="1"/>
  <c r="O405" i="1"/>
  <c r="P405" i="1" s="1"/>
  <c r="L405" i="1"/>
  <c r="N405" i="1" s="1"/>
  <c r="E405" i="1"/>
  <c r="C404" i="5" s="1"/>
  <c r="C405" i="5" s="1"/>
  <c r="C406" i="5" s="1"/>
  <c r="C407" i="5" s="1"/>
  <c r="C408" i="5" s="1"/>
  <c r="C409" i="5" s="1"/>
  <c r="C410" i="5" s="1"/>
  <c r="AF401" i="1"/>
  <c r="O401" i="1"/>
  <c r="P401" i="1" s="1"/>
  <c r="L401" i="1"/>
  <c r="N401" i="1" s="1"/>
  <c r="K401" i="1"/>
  <c r="G401" i="1"/>
  <c r="AK400" i="1" s="1" a="1"/>
  <c r="AK400" i="1" s="1"/>
  <c r="AL400" i="1" s="1"/>
  <c r="AF400" i="1"/>
  <c r="AE400" i="1"/>
  <c r="O400" i="1"/>
  <c r="P400" i="1" s="1"/>
  <c r="L400" i="1"/>
  <c r="N400" i="1" s="1"/>
  <c r="K400" i="1"/>
  <c r="G400" i="1"/>
  <c r="AK399" i="1" s="1" a="1"/>
  <c r="AK399" i="1" s="1"/>
  <c r="AL399" i="1" s="1"/>
  <c r="AF399" i="1"/>
  <c r="O399" i="1"/>
  <c r="P399" i="1" s="1"/>
  <c r="L399" i="1"/>
  <c r="N399" i="1" s="1"/>
  <c r="AF398" i="1"/>
  <c r="O398" i="1"/>
  <c r="P398" i="1" s="1"/>
  <c r="L398" i="1"/>
  <c r="N398" i="1" s="1"/>
  <c r="AF397" i="1"/>
  <c r="O397" i="1"/>
  <c r="P397" i="1" s="1"/>
  <c r="L397" i="1"/>
  <c r="N397" i="1" s="1"/>
  <c r="AF396" i="1"/>
  <c r="O396" i="1"/>
  <c r="P396" i="1" s="1"/>
  <c r="L396" i="1"/>
  <c r="N396" i="1" s="1"/>
  <c r="O395" i="1"/>
  <c r="P395" i="1" s="1"/>
  <c r="L395" i="1"/>
  <c r="N395" i="1" s="1"/>
  <c r="E395" i="1"/>
  <c r="C394" i="5" s="1"/>
  <c r="C395" i="5" s="1"/>
  <c r="C396" i="5" s="1"/>
  <c r="C397" i="5" s="1"/>
  <c r="C398" i="5" s="1"/>
  <c r="C399" i="5" s="1"/>
  <c r="C400" i="5" s="1"/>
  <c r="AF391" i="1"/>
  <c r="O391" i="1"/>
  <c r="P391" i="1" s="1"/>
  <c r="L391" i="1"/>
  <c r="N391" i="1" s="1"/>
  <c r="K391" i="1"/>
  <c r="G391" i="1"/>
  <c r="AK390" i="1" s="1" a="1"/>
  <c r="AK390" i="1" s="1"/>
  <c r="AL390" i="1" s="1"/>
  <c r="AF390" i="1"/>
  <c r="AE390" i="1"/>
  <c r="O390" i="1"/>
  <c r="P390" i="1" s="1"/>
  <c r="L390" i="1"/>
  <c r="N390" i="1" s="1"/>
  <c r="K390" i="1"/>
  <c r="G390" i="1"/>
  <c r="AF389" i="1"/>
  <c r="O389" i="1"/>
  <c r="P389" i="1" s="1"/>
  <c r="L389" i="1"/>
  <c r="N389" i="1" s="1"/>
  <c r="AF388" i="1"/>
  <c r="O388" i="1"/>
  <c r="P388" i="1" s="1"/>
  <c r="L388" i="1"/>
  <c r="N388" i="1" s="1"/>
  <c r="AF387" i="1"/>
  <c r="O387" i="1"/>
  <c r="P387" i="1" s="1"/>
  <c r="L387" i="1"/>
  <c r="N387" i="1" s="1"/>
  <c r="AF386" i="1"/>
  <c r="O386" i="1"/>
  <c r="P386" i="1" s="1"/>
  <c r="L386" i="1"/>
  <c r="N386" i="1" s="1"/>
  <c r="O385" i="1"/>
  <c r="P385" i="1" s="1"/>
  <c r="L385" i="1"/>
  <c r="N385" i="1" s="1"/>
  <c r="E385" i="1"/>
  <c r="C384" i="5" s="1"/>
  <c r="C385" i="5" s="1"/>
  <c r="C386" i="5" s="1"/>
  <c r="C387" i="5" s="1"/>
  <c r="C388" i="5" s="1"/>
  <c r="C389" i="5" s="1"/>
  <c r="C390" i="5" s="1"/>
  <c r="AF381" i="1"/>
  <c r="O381" i="1"/>
  <c r="P381" i="1" s="1"/>
  <c r="L381" i="1"/>
  <c r="N381" i="1" s="1"/>
  <c r="K381" i="1"/>
  <c r="G381" i="1"/>
  <c r="AK380" i="1" s="1" a="1"/>
  <c r="AK380" i="1" s="1"/>
  <c r="AL380" i="1" s="1"/>
  <c r="AF380" i="1"/>
  <c r="AE380" i="1"/>
  <c r="O380" i="1"/>
  <c r="P380" i="1" s="1"/>
  <c r="L380" i="1"/>
  <c r="N380" i="1" s="1"/>
  <c r="K380" i="1"/>
  <c r="G380" i="1"/>
  <c r="AF379" i="1"/>
  <c r="O379" i="1"/>
  <c r="P379" i="1" s="1"/>
  <c r="L379" i="1"/>
  <c r="N379" i="1" s="1"/>
  <c r="AF378" i="1"/>
  <c r="O378" i="1"/>
  <c r="P378" i="1" s="1"/>
  <c r="L378" i="1"/>
  <c r="N378" i="1" s="1"/>
  <c r="AF377" i="1"/>
  <c r="O377" i="1"/>
  <c r="P377" i="1" s="1"/>
  <c r="L377" i="1"/>
  <c r="N377" i="1" s="1"/>
  <c r="AF376" i="1"/>
  <c r="O376" i="1"/>
  <c r="P376" i="1" s="1"/>
  <c r="L376" i="1"/>
  <c r="N376" i="1" s="1"/>
  <c r="O375" i="1"/>
  <c r="P375" i="1" s="1"/>
  <c r="L375" i="1"/>
  <c r="N375" i="1" s="1"/>
  <c r="E375" i="1"/>
  <c r="C374" i="5" s="1"/>
  <c r="C375" i="5" s="1"/>
  <c r="C376" i="5" s="1"/>
  <c r="C377" i="5" s="1"/>
  <c r="C378" i="5" s="1"/>
  <c r="C379" i="5" s="1"/>
  <c r="C380" i="5" s="1"/>
  <c r="AF371" i="1"/>
  <c r="O371" i="1"/>
  <c r="P371" i="1" s="1"/>
  <c r="L371" i="1"/>
  <c r="N371" i="1" s="1"/>
  <c r="K371" i="1"/>
  <c r="G371" i="1"/>
  <c r="AK370" i="1" s="1" a="1"/>
  <c r="AK370" i="1" s="1"/>
  <c r="AL370" i="1" s="1"/>
  <c r="AF370" i="1"/>
  <c r="AE370" i="1"/>
  <c r="O370" i="1"/>
  <c r="P370" i="1" s="1"/>
  <c r="L370" i="1"/>
  <c r="N370" i="1" s="1"/>
  <c r="K370" i="1"/>
  <c r="G370" i="1"/>
  <c r="AF369" i="1"/>
  <c r="O369" i="1"/>
  <c r="P369" i="1" s="1"/>
  <c r="L369" i="1"/>
  <c r="N369" i="1" s="1"/>
  <c r="AF368" i="1"/>
  <c r="O368" i="1"/>
  <c r="P368" i="1" s="1"/>
  <c r="L368" i="1"/>
  <c r="N368" i="1" s="1"/>
  <c r="AF367" i="1"/>
  <c r="O367" i="1"/>
  <c r="P367" i="1" s="1"/>
  <c r="L367" i="1"/>
  <c r="N367" i="1" s="1"/>
  <c r="AF366" i="1"/>
  <c r="O366" i="1"/>
  <c r="P366" i="1" s="1"/>
  <c r="L366" i="1"/>
  <c r="N366" i="1" s="1"/>
  <c r="O365" i="1"/>
  <c r="P365" i="1" s="1"/>
  <c r="L365" i="1"/>
  <c r="N365" i="1" s="1"/>
  <c r="E365" i="1"/>
  <c r="C364" i="5" s="1"/>
  <c r="C365" i="5" s="1"/>
  <c r="C366" i="5" s="1"/>
  <c r="C367" i="5" s="1"/>
  <c r="C368" i="5" s="1"/>
  <c r="C369" i="5" s="1"/>
  <c r="C370" i="5" s="1"/>
  <c r="AF361" i="1"/>
  <c r="O361" i="1"/>
  <c r="P361" i="1" s="1"/>
  <c r="L361" i="1"/>
  <c r="N361" i="1" s="1"/>
  <c r="K361" i="1"/>
  <c r="G361" i="1"/>
  <c r="AK360" i="1" s="1" a="1"/>
  <c r="AK360" i="1" s="1"/>
  <c r="AL360" i="1" s="1"/>
  <c r="AF360" i="1"/>
  <c r="AE360" i="1"/>
  <c r="O360" i="1"/>
  <c r="P360" i="1" s="1"/>
  <c r="L360" i="1"/>
  <c r="N360" i="1" s="1"/>
  <c r="K360" i="1"/>
  <c r="G360" i="1"/>
  <c r="AF359" i="1"/>
  <c r="O359" i="1"/>
  <c r="P359" i="1" s="1"/>
  <c r="L359" i="1"/>
  <c r="N359" i="1" s="1"/>
  <c r="AF358" i="1"/>
  <c r="O358" i="1"/>
  <c r="P358" i="1" s="1"/>
  <c r="L358" i="1"/>
  <c r="N358" i="1" s="1"/>
  <c r="AF357" i="1"/>
  <c r="O357" i="1"/>
  <c r="P357" i="1" s="1"/>
  <c r="L357" i="1"/>
  <c r="N357" i="1" s="1"/>
  <c r="AF356" i="1"/>
  <c r="O356" i="1"/>
  <c r="P356" i="1" s="1"/>
  <c r="L356" i="1"/>
  <c r="N356" i="1" s="1"/>
  <c r="O355" i="1"/>
  <c r="P355" i="1" s="1"/>
  <c r="L355" i="1"/>
  <c r="N355" i="1" s="1"/>
  <c r="E355" i="1"/>
  <c r="C354" i="5" s="1"/>
  <c r="C355" i="5" s="1"/>
  <c r="C356" i="5" s="1"/>
  <c r="C357" i="5" s="1"/>
  <c r="C358" i="5" s="1"/>
  <c r="C359" i="5" s="1"/>
  <c r="C360" i="5" s="1"/>
  <c r="AF351" i="1"/>
  <c r="O351" i="1"/>
  <c r="P351" i="1" s="1"/>
  <c r="L351" i="1"/>
  <c r="N351" i="1" s="1"/>
  <c r="K351" i="1"/>
  <c r="G351" i="1"/>
  <c r="AF350" i="1"/>
  <c r="AE350" i="1"/>
  <c r="O350" i="1"/>
  <c r="P350" i="1" s="1"/>
  <c r="L350" i="1"/>
  <c r="N350" i="1" s="1"/>
  <c r="K350" i="1"/>
  <c r="G350" i="1"/>
  <c r="AF349" i="1"/>
  <c r="O349" i="1"/>
  <c r="P349" i="1" s="1"/>
  <c r="L349" i="1"/>
  <c r="N349" i="1" s="1"/>
  <c r="AF348" i="1"/>
  <c r="O348" i="1"/>
  <c r="P348" i="1" s="1"/>
  <c r="L348" i="1"/>
  <c r="N348" i="1" s="1"/>
  <c r="AF347" i="1"/>
  <c r="O347" i="1"/>
  <c r="P347" i="1" s="1"/>
  <c r="L347" i="1"/>
  <c r="N347" i="1" s="1"/>
  <c r="AF346" i="1"/>
  <c r="O346" i="1"/>
  <c r="P346" i="1" s="1"/>
  <c r="L346" i="1"/>
  <c r="N346" i="1" s="1"/>
  <c r="AF345" i="1"/>
  <c r="O345" i="1"/>
  <c r="P345" i="1" s="1"/>
  <c r="L345" i="1"/>
  <c r="N345" i="1" s="1"/>
  <c r="E345" i="1"/>
  <c r="C344" i="5" s="1"/>
  <c r="C345" i="5" s="1"/>
  <c r="C346" i="5" s="1"/>
  <c r="C347" i="5" s="1"/>
  <c r="C348" i="5" s="1"/>
  <c r="C349" i="5" s="1"/>
  <c r="C350" i="5" s="1"/>
  <c r="AF341" i="1"/>
  <c r="O341" i="1"/>
  <c r="P341" i="1" s="1"/>
  <c r="L341" i="1"/>
  <c r="N341" i="1" s="1"/>
  <c r="K341" i="1"/>
  <c r="G341" i="1"/>
  <c r="AK340" i="1" s="1" a="1"/>
  <c r="AK340" i="1" s="1"/>
  <c r="AL340" i="1" s="1"/>
  <c r="AF340" i="1"/>
  <c r="AE340" i="1"/>
  <c r="O340" i="1"/>
  <c r="P340" i="1" s="1"/>
  <c r="L340" i="1"/>
  <c r="N340" i="1" s="1"/>
  <c r="K340" i="1"/>
  <c r="G340" i="1"/>
  <c r="AK339" i="1" s="1" a="1"/>
  <c r="AK339" i="1" s="1"/>
  <c r="AL339" i="1" s="1"/>
  <c r="AF339" i="1"/>
  <c r="O339" i="1"/>
  <c r="P339" i="1" s="1"/>
  <c r="L339" i="1"/>
  <c r="N339" i="1" s="1"/>
  <c r="AF338" i="1"/>
  <c r="O338" i="1"/>
  <c r="P338" i="1" s="1"/>
  <c r="L338" i="1"/>
  <c r="N338" i="1" s="1"/>
  <c r="AF337" i="1"/>
  <c r="O337" i="1"/>
  <c r="P337" i="1" s="1"/>
  <c r="L337" i="1"/>
  <c r="N337" i="1" s="1"/>
  <c r="AF336" i="1"/>
  <c r="O336" i="1"/>
  <c r="P336" i="1" s="1"/>
  <c r="L336" i="1"/>
  <c r="N336" i="1" s="1"/>
  <c r="O335" i="1"/>
  <c r="P335" i="1" s="1"/>
  <c r="L335" i="1"/>
  <c r="N335" i="1" s="1"/>
  <c r="E335" i="1"/>
  <c r="C334" i="5" s="1"/>
  <c r="C335" i="5" s="1"/>
  <c r="C336" i="5" s="1"/>
  <c r="C337" i="5" s="1"/>
  <c r="C338" i="5" s="1"/>
  <c r="C339" i="5" s="1"/>
  <c r="C340" i="5" s="1"/>
  <c r="AF331" i="1"/>
  <c r="O331" i="1"/>
  <c r="P331" i="1" s="1"/>
  <c r="L331" i="1"/>
  <c r="N331" i="1" s="1"/>
  <c r="K331" i="1"/>
  <c r="G331" i="1"/>
  <c r="AK330" i="1" s="1" a="1"/>
  <c r="AK330" i="1" s="1"/>
  <c r="AL330" i="1" s="1"/>
  <c r="AF330" i="1"/>
  <c r="AE330" i="1"/>
  <c r="O330" i="1"/>
  <c r="P330" i="1" s="1"/>
  <c r="L330" i="1"/>
  <c r="N330" i="1" s="1"/>
  <c r="K330" i="1"/>
  <c r="G330" i="1"/>
  <c r="AK329" i="1" s="1" a="1"/>
  <c r="AK329" i="1" s="1"/>
  <c r="AL329" i="1" s="1"/>
  <c r="AF329" i="1"/>
  <c r="O329" i="1"/>
  <c r="P329" i="1" s="1"/>
  <c r="L329" i="1"/>
  <c r="N329" i="1" s="1"/>
  <c r="AF328" i="1"/>
  <c r="O328" i="1"/>
  <c r="P328" i="1" s="1"/>
  <c r="AF327" i="1"/>
  <c r="O327" i="1"/>
  <c r="P327" i="1" s="1"/>
  <c r="L327" i="1"/>
  <c r="N327" i="1" s="1"/>
  <c r="AF326" i="1"/>
  <c r="O326" i="1"/>
  <c r="P326" i="1" s="1"/>
  <c r="L326" i="1"/>
  <c r="N326" i="1" s="1"/>
  <c r="K326" i="1"/>
  <c r="G326" i="1"/>
  <c r="AK325" i="1" s="1" a="1"/>
  <c r="AK325" i="1" s="1"/>
  <c r="AL325" i="1" s="1"/>
  <c r="O325" i="1"/>
  <c r="P325" i="1" s="1"/>
  <c r="L325" i="1"/>
  <c r="N325" i="1" s="1"/>
  <c r="E325" i="1"/>
  <c r="C324" i="5" s="1"/>
  <c r="C325" i="5" s="1"/>
  <c r="C326" i="5" s="1"/>
  <c r="C327" i="5" s="1"/>
  <c r="C328" i="5" s="1"/>
  <c r="C329" i="5" s="1"/>
  <c r="C330" i="5" s="1"/>
  <c r="AF321" i="1"/>
  <c r="O321" i="1"/>
  <c r="P321" i="1" s="1"/>
  <c r="L321" i="1"/>
  <c r="N321" i="1" s="1"/>
  <c r="K321" i="1"/>
  <c r="G321" i="1"/>
  <c r="AK320" i="1" s="1" a="1"/>
  <c r="AK320" i="1" s="1"/>
  <c r="AL320" i="1" s="1"/>
  <c r="AF320" i="1"/>
  <c r="AE320" i="1"/>
  <c r="O320" i="1"/>
  <c r="P320" i="1" s="1"/>
  <c r="L320" i="1"/>
  <c r="N320" i="1" s="1"/>
  <c r="K320" i="1"/>
  <c r="G320" i="1"/>
  <c r="AK319" i="1" s="1" a="1"/>
  <c r="AK319" i="1" s="1"/>
  <c r="AL319" i="1" s="1"/>
  <c r="AF319" i="1"/>
  <c r="O319" i="1"/>
  <c r="P319" i="1" s="1"/>
  <c r="L319" i="1"/>
  <c r="N319" i="1" s="1"/>
  <c r="AF318" i="1"/>
  <c r="O318" i="1"/>
  <c r="P318" i="1" s="1"/>
  <c r="L318" i="1"/>
  <c r="N318" i="1" s="1"/>
  <c r="AF317" i="1"/>
  <c r="O317" i="1"/>
  <c r="P317" i="1" s="1"/>
  <c r="L317" i="1"/>
  <c r="N317" i="1" s="1"/>
  <c r="AF316" i="1"/>
  <c r="O316" i="1"/>
  <c r="P316" i="1" s="1"/>
  <c r="L316" i="1"/>
  <c r="N316" i="1" s="1"/>
  <c r="O315" i="1"/>
  <c r="P315" i="1" s="1"/>
  <c r="L315" i="1"/>
  <c r="N315" i="1" s="1"/>
  <c r="E315" i="1"/>
  <c r="C314" i="5" s="1"/>
  <c r="C315" i="5" s="1"/>
  <c r="C316" i="5" s="1"/>
  <c r="C317" i="5" s="1"/>
  <c r="C318" i="5" s="1"/>
  <c r="C319" i="5" s="1"/>
  <c r="C320" i="5" s="1"/>
  <c r="AF311" i="1"/>
  <c r="O311" i="1"/>
  <c r="P311" i="1" s="1"/>
  <c r="L311" i="1"/>
  <c r="N311" i="1" s="1"/>
  <c r="K311" i="1"/>
  <c r="G311" i="1"/>
  <c r="AK310" i="1" s="1" a="1"/>
  <c r="AK310" i="1" s="1"/>
  <c r="AL310" i="1" s="1"/>
  <c r="AF310" i="1"/>
  <c r="AE310" i="1"/>
  <c r="O310" i="1"/>
  <c r="P310" i="1" s="1"/>
  <c r="L310" i="1"/>
  <c r="N310" i="1" s="1"/>
  <c r="K310" i="1"/>
  <c r="G310" i="1"/>
  <c r="AK309" i="1" s="1" a="1"/>
  <c r="AK309" i="1" s="1"/>
  <c r="AL309" i="1" s="1"/>
  <c r="AF309" i="1"/>
  <c r="O309" i="1"/>
  <c r="P309" i="1" s="1"/>
  <c r="L309" i="1"/>
  <c r="N309" i="1" s="1"/>
  <c r="AF308" i="1"/>
  <c r="O308" i="1"/>
  <c r="P308" i="1" s="1"/>
  <c r="L308" i="1"/>
  <c r="N308" i="1" s="1"/>
  <c r="AF307" i="1"/>
  <c r="O307" i="1"/>
  <c r="P307" i="1" s="1"/>
  <c r="L307" i="1"/>
  <c r="N307" i="1" s="1"/>
  <c r="AF306" i="1"/>
  <c r="O306" i="1"/>
  <c r="P306" i="1" s="1"/>
  <c r="L306" i="1"/>
  <c r="N306" i="1" s="1"/>
  <c r="O305" i="1"/>
  <c r="P305" i="1" s="1"/>
  <c r="L305" i="1"/>
  <c r="N305" i="1" s="1"/>
  <c r="E305" i="1"/>
  <c r="C304" i="5" s="1"/>
  <c r="C305" i="5" s="1"/>
  <c r="C306" i="5" s="1"/>
  <c r="C307" i="5" s="1"/>
  <c r="C308" i="5" s="1"/>
  <c r="C309" i="5" s="1"/>
  <c r="C310" i="5" s="1"/>
  <c r="AF301" i="1"/>
  <c r="O301" i="1"/>
  <c r="P301" i="1" s="1"/>
  <c r="L301" i="1"/>
  <c r="N301" i="1" s="1"/>
  <c r="K301" i="1"/>
  <c r="G301" i="1"/>
  <c r="AK300" i="1" s="1" a="1"/>
  <c r="AK300" i="1" s="1"/>
  <c r="AL300" i="1" s="1"/>
  <c r="AF300" i="1"/>
  <c r="AE300" i="1"/>
  <c r="O300" i="1"/>
  <c r="P300" i="1" s="1"/>
  <c r="L300" i="1"/>
  <c r="N300" i="1" s="1"/>
  <c r="K300" i="1"/>
  <c r="G300" i="1"/>
  <c r="AK299" i="1" s="1" a="1"/>
  <c r="AK299" i="1" s="1"/>
  <c r="AL299" i="1" s="1"/>
  <c r="AF299" i="1"/>
  <c r="O299" i="1"/>
  <c r="P299" i="1" s="1"/>
  <c r="L299" i="1"/>
  <c r="N299" i="1" s="1"/>
  <c r="AF298" i="1"/>
  <c r="O298" i="1"/>
  <c r="P298" i="1" s="1"/>
  <c r="L298" i="1"/>
  <c r="N298" i="1" s="1"/>
  <c r="AF297" i="1"/>
  <c r="O297" i="1"/>
  <c r="P297" i="1" s="1"/>
  <c r="L297" i="1"/>
  <c r="N297" i="1" s="1"/>
  <c r="AF296" i="1"/>
  <c r="O296" i="1"/>
  <c r="P296" i="1" s="1"/>
  <c r="L296" i="1"/>
  <c r="N296" i="1" s="1"/>
  <c r="O295" i="1"/>
  <c r="P295" i="1" s="1"/>
  <c r="L295" i="1"/>
  <c r="N295" i="1" s="1"/>
  <c r="E295" i="1"/>
  <c r="C294" i="5" s="1"/>
  <c r="C295" i="5" s="1"/>
  <c r="C296" i="5" s="1"/>
  <c r="C297" i="5" s="1"/>
  <c r="C298" i="5" s="1"/>
  <c r="C299" i="5" s="1"/>
  <c r="C300" i="5" s="1"/>
  <c r="AF291" i="1"/>
  <c r="O291" i="1"/>
  <c r="P291" i="1" s="1"/>
  <c r="L291" i="1"/>
  <c r="N291" i="1" s="1"/>
  <c r="K291" i="1"/>
  <c r="G291" i="1"/>
  <c r="AK290" i="1" s="1" a="1"/>
  <c r="AK290" i="1" s="1"/>
  <c r="AL290" i="1" s="1"/>
  <c r="AF290" i="1"/>
  <c r="AE290" i="1"/>
  <c r="O290" i="1"/>
  <c r="P290" i="1" s="1"/>
  <c r="L290" i="1"/>
  <c r="N290" i="1" s="1"/>
  <c r="K290" i="1"/>
  <c r="G290" i="1"/>
  <c r="AK289" i="1" s="1" a="1"/>
  <c r="AK289" i="1" s="1"/>
  <c r="AL289" i="1" s="1"/>
  <c r="AF289" i="1"/>
  <c r="O289" i="1"/>
  <c r="P289" i="1" s="1"/>
  <c r="L289" i="1"/>
  <c r="N289" i="1" s="1"/>
  <c r="AF288" i="1"/>
  <c r="O288" i="1"/>
  <c r="P288" i="1" s="1"/>
  <c r="L288" i="1"/>
  <c r="N288" i="1" s="1"/>
  <c r="AF287" i="1"/>
  <c r="O287" i="1"/>
  <c r="P287" i="1" s="1"/>
  <c r="L287" i="1"/>
  <c r="N287" i="1" s="1"/>
  <c r="AF286" i="1"/>
  <c r="O286" i="1"/>
  <c r="P286" i="1" s="1"/>
  <c r="L286" i="1"/>
  <c r="N286" i="1" s="1"/>
  <c r="O285" i="1"/>
  <c r="P285" i="1" s="1"/>
  <c r="L285" i="1"/>
  <c r="N285" i="1" s="1"/>
  <c r="E285" i="1"/>
  <c r="C284" i="5" s="1"/>
  <c r="C285" i="5" s="1"/>
  <c r="C286" i="5" s="1"/>
  <c r="C287" i="5" s="1"/>
  <c r="C288" i="5" s="1"/>
  <c r="C289" i="5" s="1"/>
  <c r="C290" i="5" s="1"/>
  <c r="AF281" i="1"/>
  <c r="O281" i="1"/>
  <c r="P281" i="1" s="1"/>
  <c r="L281" i="1"/>
  <c r="N281" i="1" s="1"/>
  <c r="K281" i="1"/>
  <c r="G281" i="1"/>
  <c r="AK280" i="1" s="1" a="1"/>
  <c r="AK280" i="1" s="1"/>
  <c r="AL280" i="1" s="1"/>
  <c r="AF280" i="1"/>
  <c r="AE280" i="1"/>
  <c r="O280" i="1"/>
  <c r="P280" i="1" s="1"/>
  <c r="L280" i="1"/>
  <c r="N280" i="1" s="1"/>
  <c r="K280" i="1"/>
  <c r="G280" i="1"/>
  <c r="AK279" i="1" s="1" a="1"/>
  <c r="AK279" i="1" s="1"/>
  <c r="AL279" i="1" s="1"/>
  <c r="AF279" i="1"/>
  <c r="O279" i="1"/>
  <c r="P279" i="1" s="1"/>
  <c r="L279" i="1"/>
  <c r="N279" i="1" s="1"/>
  <c r="AF278" i="1"/>
  <c r="O278" i="1"/>
  <c r="P278" i="1" s="1"/>
  <c r="L278" i="1"/>
  <c r="N278" i="1" s="1"/>
  <c r="AF277" i="1"/>
  <c r="O277" i="1"/>
  <c r="P277" i="1" s="1"/>
  <c r="L277" i="1"/>
  <c r="N277" i="1" s="1"/>
  <c r="AF276" i="1"/>
  <c r="O276" i="1"/>
  <c r="P276" i="1" s="1"/>
  <c r="L276" i="1"/>
  <c r="N276" i="1" s="1"/>
  <c r="O275" i="1"/>
  <c r="P275" i="1" s="1"/>
  <c r="L275" i="1"/>
  <c r="N275" i="1" s="1"/>
  <c r="E275" i="1"/>
  <c r="C274" i="5" s="1"/>
  <c r="C275" i="5" s="1"/>
  <c r="C276" i="5" s="1"/>
  <c r="C277" i="5" s="1"/>
  <c r="C278" i="5" s="1"/>
  <c r="C279" i="5" s="1"/>
  <c r="C280" i="5" s="1"/>
  <c r="AF271" i="1"/>
  <c r="O271" i="1"/>
  <c r="P271" i="1" s="1"/>
  <c r="L271" i="1"/>
  <c r="N271" i="1" s="1"/>
  <c r="K271" i="1"/>
  <c r="G271" i="1"/>
  <c r="AF270" i="1"/>
  <c r="AE270" i="1"/>
  <c r="O270" i="1"/>
  <c r="P270" i="1" s="1"/>
  <c r="L270" i="1"/>
  <c r="N270" i="1" s="1"/>
  <c r="K270" i="1"/>
  <c r="G270" i="1"/>
  <c r="AK269" i="1" s="1" a="1"/>
  <c r="AK269" i="1" s="1"/>
  <c r="AL269" i="1" s="1"/>
  <c r="AF269" i="1"/>
  <c r="O269" i="1"/>
  <c r="P269" i="1" s="1"/>
  <c r="L269" i="1"/>
  <c r="N269" i="1" s="1"/>
  <c r="AF268" i="1"/>
  <c r="O268" i="1"/>
  <c r="P268" i="1" s="1"/>
  <c r="L268" i="1"/>
  <c r="N268" i="1" s="1"/>
  <c r="AF267" i="1"/>
  <c r="O267" i="1"/>
  <c r="P267" i="1" s="1"/>
  <c r="L267" i="1"/>
  <c r="N267" i="1" s="1"/>
  <c r="AF266" i="1"/>
  <c r="O266" i="1"/>
  <c r="P266" i="1" s="1"/>
  <c r="L266" i="1"/>
  <c r="N266" i="1" s="1"/>
  <c r="O265" i="1"/>
  <c r="P265" i="1" s="1"/>
  <c r="L265" i="1"/>
  <c r="N265" i="1" s="1"/>
  <c r="E265" i="1"/>
  <c r="C264" i="5" s="1"/>
  <c r="C265" i="5" s="1"/>
  <c r="C266" i="5" s="1"/>
  <c r="C267" i="5" s="1"/>
  <c r="C268" i="5" s="1"/>
  <c r="C269" i="5" s="1"/>
  <c r="C270" i="5" s="1"/>
  <c r="AF261" i="1"/>
  <c r="O261" i="1"/>
  <c r="P261" i="1" s="1"/>
  <c r="L261" i="1"/>
  <c r="N261" i="1" s="1"/>
  <c r="K261" i="1"/>
  <c r="G261" i="1"/>
  <c r="AK260" i="1" s="1" a="1"/>
  <c r="AK260" i="1" s="1"/>
  <c r="AL260" i="1" s="1"/>
  <c r="AF260" i="1"/>
  <c r="AE260" i="1"/>
  <c r="O260" i="1"/>
  <c r="P260" i="1" s="1"/>
  <c r="L260" i="1"/>
  <c r="N260" i="1" s="1"/>
  <c r="K260" i="1"/>
  <c r="G260" i="1"/>
  <c r="AK259" i="1" s="1" a="1"/>
  <c r="AK259" i="1" s="1"/>
  <c r="AL259" i="1" s="1"/>
  <c r="AF259" i="1"/>
  <c r="O259" i="1"/>
  <c r="P259" i="1" s="1"/>
  <c r="L259" i="1"/>
  <c r="N259" i="1" s="1"/>
  <c r="AF258" i="1"/>
  <c r="O258" i="1"/>
  <c r="P258" i="1" s="1"/>
  <c r="L258" i="1"/>
  <c r="N258" i="1" s="1"/>
  <c r="AF257" i="1"/>
  <c r="O257" i="1"/>
  <c r="P257" i="1" s="1"/>
  <c r="L257" i="1"/>
  <c r="N257" i="1" s="1"/>
  <c r="AF256" i="1"/>
  <c r="O256" i="1"/>
  <c r="P256" i="1" s="1"/>
  <c r="L256" i="1"/>
  <c r="N256" i="1" s="1"/>
  <c r="O255" i="1"/>
  <c r="P255" i="1" s="1"/>
  <c r="L255" i="1"/>
  <c r="N255" i="1" s="1"/>
  <c r="E255" i="1"/>
  <c r="C254" i="5" s="1"/>
  <c r="C255" i="5" s="1"/>
  <c r="C256" i="5" s="1"/>
  <c r="C257" i="5" s="1"/>
  <c r="C258" i="5" s="1"/>
  <c r="C259" i="5" s="1"/>
  <c r="C260" i="5" s="1"/>
  <c r="AF251" i="1"/>
  <c r="O251" i="1"/>
  <c r="P251" i="1" s="1"/>
  <c r="L251" i="1"/>
  <c r="N251" i="1" s="1"/>
  <c r="K251" i="1"/>
  <c r="G251" i="1"/>
  <c r="AK250" i="1" s="1" a="1"/>
  <c r="AK250" i="1" s="1"/>
  <c r="AL250" i="1" s="1"/>
  <c r="AF250" i="1"/>
  <c r="AE250" i="1"/>
  <c r="O250" i="1"/>
  <c r="P250" i="1" s="1"/>
  <c r="L250" i="1"/>
  <c r="N250" i="1" s="1"/>
  <c r="AF249" i="1"/>
  <c r="O249" i="1"/>
  <c r="P249" i="1" s="1"/>
  <c r="L249" i="1"/>
  <c r="N249" i="1" s="1"/>
  <c r="AF248" i="1"/>
  <c r="O248" i="1"/>
  <c r="P248" i="1" s="1"/>
  <c r="L248" i="1"/>
  <c r="N248" i="1" s="1"/>
  <c r="AF247" i="1"/>
  <c r="O247" i="1"/>
  <c r="P247" i="1" s="1"/>
  <c r="L247" i="1"/>
  <c r="N247" i="1" s="1"/>
  <c r="AF246" i="1"/>
  <c r="O246" i="1"/>
  <c r="P246" i="1" s="1"/>
  <c r="L246" i="1"/>
  <c r="N246" i="1" s="1"/>
  <c r="AF245" i="1"/>
  <c r="O245" i="1"/>
  <c r="P245" i="1" s="1"/>
  <c r="L245" i="1"/>
  <c r="N245" i="1" s="1"/>
  <c r="E245" i="1"/>
  <c r="C244" i="5" s="1"/>
  <c r="C245" i="5" s="1"/>
  <c r="C246" i="5" s="1"/>
  <c r="C247" i="5" s="1"/>
  <c r="C248" i="5" s="1"/>
  <c r="C249" i="5" s="1"/>
  <c r="C250" i="5" s="1"/>
  <c r="AF241" i="1"/>
  <c r="O241" i="1"/>
  <c r="P241" i="1" s="1"/>
  <c r="L241" i="1"/>
  <c r="N241" i="1" s="1"/>
  <c r="K241" i="1"/>
  <c r="G241" i="1"/>
  <c r="AK240" i="1" s="1" a="1"/>
  <c r="AK240" i="1" s="1"/>
  <c r="AL240" i="1" s="1"/>
  <c r="AF240" i="1"/>
  <c r="AE240" i="1"/>
  <c r="O240" i="1"/>
  <c r="P240" i="1" s="1"/>
  <c r="L240" i="1"/>
  <c r="N240" i="1" s="1"/>
  <c r="AF239" i="1"/>
  <c r="O239" i="1"/>
  <c r="P239" i="1" s="1"/>
  <c r="AF238" i="1"/>
  <c r="O238" i="1"/>
  <c r="P238" i="1" s="1"/>
  <c r="L238" i="1"/>
  <c r="N238" i="1" s="1"/>
  <c r="AF237" i="1"/>
  <c r="O237" i="1"/>
  <c r="P237" i="1" s="1"/>
  <c r="L237" i="1"/>
  <c r="N237" i="1" s="1"/>
  <c r="AF236" i="1"/>
  <c r="O236" i="1"/>
  <c r="P236" i="1" s="1"/>
  <c r="L236" i="1"/>
  <c r="N236" i="1" s="1"/>
  <c r="O235" i="1"/>
  <c r="P235" i="1" s="1"/>
  <c r="L235" i="1"/>
  <c r="N235" i="1" s="1"/>
  <c r="E235" i="1"/>
  <c r="C234" i="5" s="1"/>
  <c r="C235" i="5" s="1"/>
  <c r="C236" i="5" s="1"/>
  <c r="C237" i="5" s="1"/>
  <c r="C238" i="5" s="1"/>
  <c r="C239" i="5" s="1"/>
  <c r="C240" i="5" s="1"/>
  <c r="AF231" i="1"/>
  <c r="O231" i="1"/>
  <c r="P231" i="1" s="1"/>
  <c r="L231" i="1"/>
  <c r="N231" i="1" s="1"/>
  <c r="K231" i="1"/>
  <c r="G231" i="1"/>
  <c r="AK230" i="1" s="1" a="1"/>
  <c r="AK230" i="1" s="1"/>
  <c r="AL230" i="1" s="1"/>
  <c r="AF230" i="1"/>
  <c r="AE230" i="1"/>
  <c r="O230" i="1"/>
  <c r="P230" i="1" s="1"/>
  <c r="L230" i="1"/>
  <c r="N230" i="1" s="1"/>
  <c r="AF229" i="1"/>
  <c r="O229" i="1"/>
  <c r="P229" i="1" s="1"/>
  <c r="L229" i="1"/>
  <c r="N229" i="1" s="1"/>
  <c r="AF228" i="1"/>
  <c r="O228" i="1"/>
  <c r="P228" i="1" s="1"/>
  <c r="L228" i="1"/>
  <c r="N228" i="1" s="1"/>
  <c r="AF227" i="1"/>
  <c r="O227" i="1"/>
  <c r="P227" i="1" s="1"/>
  <c r="L227" i="1"/>
  <c r="N227" i="1" s="1"/>
  <c r="AF226" i="1"/>
  <c r="O226" i="1"/>
  <c r="P226" i="1" s="1"/>
  <c r="L226" i="1"/>
  <c r="N226" i="1" s="1"/>
  <c r="O225" i="1"/>
  <c r="P225" i="1" s="1"/>
  <c r="L225" i="1"/>
  <c r="N225" i="1" s="1"/>
  <c r="E225" i="1"/>
  <c r="C224" i="5" s="1"/>
  <c r="C225" i="5" s="1"/>
  <c r="C226" i="5" s="1"/>
  <c r="C227" i="5" s="1"/>
  <c r="C228" i="5" s="1"/>
  <c r="C229" i="5" s="1"/>
  <c r="C230" i="5" s="1"/>
  <c r="AF221" i="1"/>
  <c r="O221" i="1"/>
  <c r="P221" i="1" s="1"/>
  <c r="L221" i="1"/>
  <c r="N221" i="1" s="1"/>
  <c r="K221" i="1"/>
  <c r="G221" i="1"/>
  <c r="AK220" i="1" s="1" a="1"/>
  <c r="AK220" i="1" s="1"/>
  <c r="AL220" i="1" s="1"/>
  <c r="AF220" i="1"/>
  <c r="AE220" i="1"/>
  <c r="O220" i="1"/>
  <c r="P220" i="1" s="1"/>
  <c r="L220" i="1"/>
  <c r="N220" i="1" s="1"/>
  <c r="AF219" i="1"/>
  <c r="O219" i="1"/>
  <c r="P219" i="1" s="1"/>
  <c r="L219" i="1"/>
  <c r="N219" i="1" s="1"/>
  <c r="AF218" i="1"/>
  <c r="O218" i="1"/>
  <c r="P218" i="1" s="1"/>
  <c r="L218" i="1"/>
  <c r="N218" i="1" s="1"/>
  <c r="AF217" i="1"/>
  <c r="O217" i="1"/>
  <c r="P217" i="1" s="1"/>
  <c r="L217" i="1"/>
  <c r="N217" i="1" s="1"/>
  <c r="AF216" i="1"/>
  <c r="O216" i="1"/>
  <c r="P216" i="1" s="1"/>
  <c r="L216" i="1"/>
  <c r="N216" i="1" s="1"/>
  <c r="O215" i="1"/>
  <c r="P215" i="1" s="1"/>
  <c r="L215" i="1"/>
  <c r="N215" i="1" s="1"/>
  <c r="E215" i="1"/>
  <c r="C214" i="5" s="1"/>
  <c r="C215" i="5" s="1"/>
  <c r="C216" i="5" s="1"/>
  <c r="C217" i="5" s="1"/>
  <c r="C218" i="5" s="1"/>
  <c r="C219" i="5" s="1"/>
  <c r="C220" i="5" s="1"/>
  <c r="AF211" i="1"/>
  <c r="O211" i="1"/>
  <c r="P211" i="1" s="1"/>
  <c r="L211" i="1"/>
  <c r="N211" i="1" s="1"/>
  <c r="K211" i="1"/>
  <c r="G211" i="1"/>
  <c r="AK210" i="1" s="1" a="1"/>
  <c r="AK210" i="1" s="1"/>
  <c r="AL210" i="1" s="1"/>
  <c r="AF210" i="1"/>
  <c r="AE210" i="1"/>
  <c r="O210" i="1"/>
  <c r="P210" i="1" s="1"/>
  <c r="L210" i="1"/>
  <c r="N210" i="1" s="1"/>
  <c r="K210" i="1"/>
  <c r="G210" i="1"/>
  <c r="AK209" i="1" s="1" a="1"/>
  <c r="AK209" i="1" s="1"/>
  <c r="AL209" i="1" s="1"/>
  <c r="AF209" i="1"/>
  <c r="O209" i="1"/>
  <c r="P209" i="1" s="1"/>
  <c r="L209" i="1"/>
  <c r="N209" i="1" s="1"/>
  <c r="AF208" i="1"/>
  <c r="O208" i="1"/>
  <c r="P208" i="1" s="1"/>
  <c r="L208" i="1"/>
  <c r="N208" i="1" s="1"/>
  <c r="AF207" i="1"/>
  <c r="O207" i="1"/>
  <c r="P207" i="1" s="1"/>
  <c r="L207" i="1"/>
  <c r="N207" i="1" s="1"/>
  <c r="AF206" i="1"/>
  <c r="O206" i="1"/>
  <c r="P206" i="1" s="1"/>
  <c r="L206" i="1"/>
  <c r="N206" i="1" s="1"/>
  <c r="AF205" i="1"/>
  <c r="O205" i="1"/>
  <c r="P205" i="1" s="1"/>
  <c r="L205" i="1"/>
  <c r="N205" i="1" s="1"/>
  <c r="E205" i="1"/>
  <c r="C204" i="5" s="1"/>
  <c r="C205" i="5" s="1"/>
  <c r="C206" i="5" s="1"/>
  <c r="C207" i="5" s="1"/>
  <c r="C208" i="5" s="1"/>
  <c r="C209" i="5" s="1"/>
  <c r="C210" i="5" s="1"/>
  <c r="AF201" i="1"/>
  <c r="O201" i="1"/>
  <c r="P201" i="1" s="1"/>
  <c r="L201" i="1"/>
  <c r="N201" i="1" s="1"/>
  <c r="K201" i="1"/>
  <c r="G201" i="1"/>
  <c r="AK200" i="1" s="1" a="1"/>
  <c r="AK200" i="1" s="1"/>
  <c r="AL200" i="1" s="1"/>
  <c r="AF200" i="1"/>
  <c r="AE200" i="1"/>
  <c r="O200" i="1"/>
  <c r="P200" i="1" s="1"/>
  <c r="L200" i="1"/>
  <c r="N200" i="1" s="1"/>
  <c r="K200" i="1"/>
  <c r="G200" i="1"/>
  <c r="AK199" i="1" s="1" a="1"/>
  <c r="AK199" i="1" s="1"/>
  <c r="AL199" i="1" s="1"/>
  <c r="AF199" i="1"/>
  <c r="O199" i="1"/>
  <c r="P199" i="1" s="1"/>
  <c r="L199" i="1"/>
  <c r="N199" i="1" s="1"/>
  <c r="AF198" i="1"/>
  <c r="O198" i="1"/>
  <c r="P198" i="1" s="1"/>
  <c r="L198" i="1"/>
  <c r="N198" i="1" s="1"/>
  <c r="AF197" i="1"/>
  <c r="O197" i="1"/>
  <c r="P197" i="1" s="1"/>
  <c r="L197" i="1"/>
  <c r="N197" i="1" s="1"/>
  <c r="AF196" i="1"/>
  <c r="O196" i="1"/>
  <c r="P196" i="1" s="1"/>
  <c r="L196" i="1"/>
  <c r="N196" i="1" s="1"/>
  <c r="O195" i="1"/>
  <c r="P195" i="1" s="1"/>
  <c r="L195" i="1"/>
  <c r="N195" i="1" s="1"/>
  <c r="E195" i="1"/>
  <c r="C194" i="5" s="1"/>
  <c r="C195" i="5" s="1"/>
  <c r="C196" i="5" s="1"/>
  <c r="C197" i="5" s="1"/>
  <c r="C198" i="5" s="1"/>
  <c r="C199" i="5" s="1"/>
  <c r="C200" i="5" s="1"/>
  <c r="AF191" i="1"/>
  <c r="O191" i="1"/>
  <c r="P191" i="1" s="1"/>
  <c r="L191" i="1"/>
  <c r="N191" i="1" s="1"/>
  <c r="K191" i="1"/>
  <c r="G191" i="1"/>
  <c r="AK190" i="1" s="1" a="1"/>
  <c r="AK190" i="1" s="1"/>
  <c r="AL190" i="1" s="1"/>
  <c r="AF190" i="1"/>
  <c r="AE190" i="1"/>
  <c r="O190" i="1"/>
  <c r="P190" i="1" s="1"/>
  <c r="L190" i="1"/>
  <c r="N190" i="1" s="1"/>
  <c r="AF189" i="1"/>
  <c r="AF188" i="1"/>
  <c r="AF187" i="1"/>
  <c r="L187" i="1"/>
  <c r="N187" i="1" s="1"/>
  <c r="AF186" i="1"/>
  <c r="O186" i="1"/>
  <c r="P186" i="1" s="1"/>
  <c r="L186" i="1"/>
  <c r="N186" i="1" s="1"/>
  <c r="AF185" i="1"/>
  <c r="O185" i="1"/>
  <c r="P185" i="1" s="1"/>
  <c r="L185" i="1"/>
  <c r="N185" i="1" s="1"/>
  <c r="E185" i="1"/>
  <c r="C184" i="5" s="1"/>
  <c r="C185" i="5" s="1"/>
  <c r="C186" i="5" s="1"/>
  <c r="C187" i="5" s="1"/>
  <c r="C188" i="5" s="1"/>
  <c r="C189" i="5" s="1"/>
  <c r="C190" i="5" s="1"/>
  <c r="AF181" i="1"/>
  <c r="O181" i="1"/>
  <c r="P181" i="1" s="1"/>
  <c r="L181" i="1"/>
  <c r="N181" i="1" s="1"/>
  <c r="K181" i="1"/>
  <c r="G181" i="1"/>
  <c r="AK180" i="1" s="1" a="1"/>
  <c r="AK180" i="1" s="1"/>
  <c r="AL180" i="1" s="1"/>
  <c r="AF180" i="1"/>
  <c r="AE180" i="1"/>
  <c r="O180" i="1"/>
  <c r="P180" i="1" s="1"/>
  <c r="L180" i="1"/>
  <c r="N180" i="1" s="1"/>
  <c r="K180" i="1"/>
  <c r="G180" i="1"/>
  <c r="AK179" i="1" s="1" a="1"/>
  <c r="AK179" i="1" s="1"/>
  <c r="AL179" i="1" s="1"/>
  <c r="AF179" i="1"/>
  <c r="O179" i="1"/>
  <c r="P179" i="1" s="1"/>
  <c r="L179" i="1"/>
  <c r="N179" i="1" s="1"/>
  <c r="AF178" i="1"/>
  <c r="O178" i="1"/>
  <c r="P178" i="1" s="1"/>
  <c r="L178" i="1"/>
  <c r="N178" i="1" s="1"/>
  <c r="AF177" i="1"/>
  <c r="AF176" i="1"/>
  <c r="O176" i="1"/>
  <c r="P176" i="1" s="1"/>
  <c r="L176" i="1"/>
  <c r="N176" i="1" s="1"/>
  <c r="O175" i="1"/>
  <c r="P175" i="1" s="1"/>
  <c r="L175" i="1"/>
  <c r="N175" i="1" s="1"/>
  <c r="E175" i="1"/>
  <c r="C174" i="5" s="1"/>
  <c r="C175" i="5" s="1"/>
  <c r="C176" i="5" s="1"/>
  <c r="C177" i="5" s="1"/>
  <c r="C178" i="5" s="1"/>
  <c r="C179" i="5" s="1"/>
  <c r="C180" i="5" s="1"/>
  <c r="AF171" i="1"/>
  <c r="O171" i="1"/>
  <c r="P171" i="1" s="1"/>
  <c r="L171" i="1"/>
  <c r="N171" i="1" s="1"/>
  <c r="K171" i="1"/>
  <c r="G171" i="1"/>
  <c r="AK170" i="1" s="1" a="1"/>
  <c r="AK170" i="1" s="1"/>
  <c r="AL170" i="1" s="1"/>
  <c r="AF170" i="1"/>
  <c r="AE170" i="1"/>
  <c r="O170" i="1"/>
  <c r="P170" i="1" s="1"/>
  <c r="L170" i="1"/>
  <c r="N170" i="1" s="1"/>
  <c r="AF169" i="1"/>
  <c r="O169" i="1"/>
  <c r="P169" i="1" s="1"/>
  <c r="L169" i="1"/>
  <c r="N169" i="1" s="1"/>
  <c r="AF168" i="1"/>
  <c r="O168" i="1"/>
  <c r="P168" i="1" s="1"/>
  <c r="L168" i="1"/>
  <c r="N168" i="1" s="1"/>
  <c r="AF167" i="1"/>
  <c r="O167" i="1"/>
  <c r="P167" i="1" s="1"/>
  <c r="L167" i="1"/>
  <c r="N167" i="1" s="1"/>
  <c r="AF166" i="1"/>
  <c r="O166" i="1"/>
  <c r="P166" i="1" s="1"/>
  <c r="L166" i="1"/>
  <c r="N166" i="1" s="1"/>
  <c r="O165" i="1"/>
  <c r="P165" i="1" s="1"/>
  <c r="L165" i="1"/>
  <c r="N165" i="1" s="1"/>
  <c r="E165" i="1"/>
  <c r="C164" i="5" s="1"/>
  <c r="C165" i="5" s="1"/>
  <c r="C166" i="5" s="1"/>
  <c r="C167" i="5" s="1"/>
  <c r="C168" i="5" s="1"/>
  <c r="C169" i="5" s="1"/>
  <c r="C170" i="5" s="1"/>
  <c r="AF161" i="1"/>
  <c r="O161" i="1"/>
  <c r="P161" i="1" s="1"/>
  <c r="L161" i="1"/>
  <c r="N161" i="1" s="1"/>
  <c r="K161" i="1"/>
  <c r="G161" i="1"/>
  <c r="AK160" i="1" s="1" a="1"/>
  <c r="AK160" i="1" s="1"/>
  <c r="AL160" i="1" s="1"/>
  <c r="AF160" i="1"/>
  <c r="AE160" i="1"/>
  <c r="O160" i="1"/>
  <c r="P160" i="1" s="1"/>
  <c r="L160" i="1"/>
  <c r="N160" i="1" s="1"/>
  <c r="K160" i="1"/>
  <c r="G160" i="1"/>
  <c r="AK159" i="1" s="1" a="1"/>
  <c r="AK159" i="1" s="1"/>
  <c r="AL159" i="1" s="1"/>
  <c r="AF159" i="1"/>
  <c r="O159" i="1"/>
  <c r="P159" i="1" s="1"/>
  <c r="L159" i="1"/>
  <c r="N159" i="1" s="1"/>
  <c r="AF158" i="1"/>
  <c r="O158" i="1"/>
  <c r="P158" i="1" s="1"/>
  <c r="L158" i="1"/>
  <c r="N158" i="1" s="1"/>
  <c r="AF157" i="1"/>
  <c r="O157" i="1"/>
  <c r="P157" i="1" s="1"/>
  <c r="L157" i="1"/>
  <c r="N157" i="1" s="1"/>
  <c r="AF156" i="1"/>
  <c r="O156" i="1"/>
  <c r="P156" i="1" s="1"/>
  <c r="L156" i="1"/>
  <c r="N156" i="1" s="1"/>
  <c r="AF155" i="1"/>
  <c r="O155" i="1"/>
  <c r="P155" i="1" s="1"/>
  <c r="L155" i="1"/>
  <c r="N155" i="1" s="1"/>
  <c r="E155" i="1"/>
  <c r="C154" i="5" s="1"/>
  <c r="C155" i="5" s="1"/>
  <c r="C156" i="5" s="1"/>
  <c r="C157" i="5" s="1"/>
  <c r="C158" i="5" s="1"/>
  <c r="C159" i="5" s="1"/>
  <c r="C160" i="5" s="1"/>
  <c r="AF151" i="1"/>
  <c r="O151" i="1"/>
  <c r="P151" i="1" s="1"/>
  <c r="L151" i="1"/>
  <c r="N151" i="1" s="1"/>
  <c r="K151" i="1"/>
  <c r="G151" i="1"/>
  <c r="AK150" i="1" s="1" a="1"/>
  <c r="AK150" i="1" s="1"/>
  <c r="AL150" i="1" s="1"/>
  <c r="AF150" i="1"/>
  <c r="AE150" i="1"/>
  <c r="O150" i="1"/>
  <c r="P150" i="1" s="1"/>
  <c r="L150" i="1"/>
  <c r="N150" i="1" s="1"/>
  <c r="K150" i="1"/>
  <c r="G150" i="1"/>
  <c r="AK149" i="1" s="1" a="1"/>
  <c r="AK149" i="1" s="1"/>
  <c r="AL149" i="1" s="1"/>
  <c r="AF149" i="1"/>
  <c r="O149" i="1"/>
  <c r="P149" i="1" s="1"/>
  <c r="L149" i="1"/>
  <c r="N149" i="1" s="1"/>
  <c r="AF148" i="1"/>
  <c r="O148" i="1"/>
  <c r="P148" i="1" s="1"/>
  <c r="AF147" i="1"/>
  <c r="O147" i="1"/>
  <c r="P147" i="1" s="1"/>
  <c r="L147" i="1"/>
  <c r="N147" i="1" s="1"/>
  <c r="AF146" i="1"/>
  <c r="O146" i="1"/>
  <c r="P146" i="1" s="1"/>
  <c r="L146" i="1"/>
  <c r="N146" i="1" s="1"/>
  <c r="O145" i="1"/>
  <c r="P145" i="1" s="1"/>
  <c r="L145" i="1"/>
  <c r="N145" i="1" s="1"/>
  <c r="E145" i="1"/>
  <c r="C144" i="5" s="1"/>
  <c r="C145" i="5" s="1"/>
  <c r="C146" i="5" s="1"/>
  <c r="C147" i="5" s="1"/>
  <c r="C148" i="5" s="1"/>
  <c r="C149" i="5" s="1"/>
  <c r="C150" i="5" s="1"/>
  <c r="AF141" i="1"/>
  <c r="O141" i="1"/>
  <c r="P141" i="1" s="1"/>
  <c r="L141" i="1"/>
  <c r="N141" i="1" s="1"/>
  <c r="AF140" i="1"/>
  <c r="AE140" i="1"/>
  <c r="O140" i="1"/>
  <c r="P140" i="1" s="1"/>
  <c r="L140" i="1"/>
  <c r="K140" i="1"/>
  <c r="G140" i="1"/>
  <c r="AK139" i="1" s="1" a="1"/>
  <c r="AK139" i="1" s="1"/>
  <c r="AL139" i="1" s="1"/>
  <c r="AF139" i="1"/>
  <c r="O139" i="1"/>
  <c r="P139" i="1" s="1"/>
  <c r="L139" i="1"/>
  <c r="N139" i="1" s="1"/>
  <c r="AF138" i="1"/>
  <c r="O138" i="1"/>
  <c r="P138" i="1" s="1"/>
  <c r="L138" i="1"/>
  <c r="N138" i="1" s="1"/>
  <c r="AF137" i="1"/>
  <c r="O137" i="1"/>
  <c r="P137" i="1" s="1"/>
  <c r="L137" i="1"/>
  <c r="N137" i="1" s="1"/>
  <c r="AF136" i="1"/>
  <c r="O136" i="1"/>
  <c r="P136" i="1" s="1"/>
  <c r="L136" i="1"/>
  <c r="N136" i="1" s="1"/>
  <c r="E135" i="1"/>
  <c r="C134" i="5" s="1"/>
  <c r="C135" i="5" s="1"/>
  <c r="C136" i="5" s="1"/>
  <c r="C137" i="5" s="1"/>
  <c r="C138" i="5" s="1"/>
  <c r="C139" i="5" s="1"/>
  <c r="C140" i="5" s="1"/>
  <c r="AF131" i="1"/>
  <c r="O131" i="1"/>
  <c r="P131" i="1" s="1"/>
  <c r="L131" i="1"/>
  <c r="N131" i="1" s="1"/>
  <c r="K131" i="1"/>
  <c r="G131" i="1"/>
  <c r="AK130" i="1" s="1" a="1"/>
  <c r="AK130" i="1" s="1"/>
  <c r="AL130" i="1" s="1"/>
  <c r="AF130" i="1"/>
  <c r="AE130" i="1"/>
  <c r="O130" i="1"/>
  <c r="P130" i="1" s="1"/>
  <c r="L130" i="1"/>
  <c r="N130" i="1" s="1"/>
  <c r="K130" i="1"/>
  <c r="G130" i="1"/>
  <c r="AK129" i="1" s="1" a="1"/>
  <c r="AK129" i="1" s="1"/>
  <c r="AL129" i="1" s="1"/>
  <c r="AF129" i="1"/>
  <c r="O129" i="1"/>
  <c r="P129" i="1" s="1"/>
  <c r="L129" i="1"/>
  <c r="N129" i="1" s="1"/>
  <c r="AF128" i="1"/>
  <c r="O128" i="1"/>
  <c r="P128" i="1" s="1"/>
  <c r="L128" i="1"/>
  <c r="N128" i="1" s="1"/>
  <c r="AF127" i="1"/>
  <c r="O127" i="1"/>
  <c r="P127" i="1" s="1"/>
  <c r="L127" i="1"/>
  <c r="N127" i="1" s="1"/>
  <c r="O126" i="1"/>
  <c r="P126" i="1" s="1"/>
  <c r="L126" i="1"/>
  <c r="N126" i="1" s="1"/>
  <c r="O125" i="1"/>
  <c r="P125" i="1" s="1"/>
  <c r="L125" i="1"/>
  <c r="N125" i="1" s="1"/>
  <c r="E125" i="1"/>
  <c r="C124" i="5" s="1"/>
  <c r="C125" i="5" s="1"/>
  <c r="C126" i="5" s="1"/>
  <c r="C127" i="5" s="1"/>
  <c r="C128" i="5" s="1"/>
  <c r="C129" i="5" s="1"/>
  <c r="C130" i="5" s="1"/>
  <c r="AF121" i="1"/>
  <c r="O121" i="1"/>
  <c r="P121" i="1" s="1"/>
  <c r="L121" i="1"/>
  <c r="N121" i="1" s="1"/>
  <c r="K121" i="1"/>
  <c r="G121" i="1"/>
  <c r="AK120" i="1" s="1" a="1"/>
  <c r="AK120" i="1" s="1"/>
  <c r="AL120" i="1" s="1"/>
  <c r="AF120" i="1"/>
  <c r="AE120" i="1"/>
  <c r="O120" i="1"/>
  <c r="P120" i="1" s="1"/>
  <c r="L120" i="1"/>
  <c r="N120" i="1" s="1"/>
  <c r="K120" i="1"/>
  <c r="G120" i="1"/>
  <c r="AK119" i="1" s="1" a="1"/>
  <c r="AK119" i="1" s="1"/>
  <c r="AL119" i="1" s="1"/>
  <c r="AF119" i="1"/>
  <c r="O119" i="1"/>
  <c r="P119" i="1" s="1"/>
  <c r="L119" i="1"/>
  <c r="N119" i="1" s="1"/>
  <c r="AF118" i="1"/>
  <c r="O118" i="1"/>
  <c r="P118" i="1" s="1"/>
  <c r="L118" i="1"/>
  <c r="N118" i="1" s="1"/>
  <c r="AF117" i="1"/>
  <c r="O117" i="1"/>
  <c r="P117" i="1" s="1"/>
  <c r="L117" i="1"/>
  <c r="N117" i="1" s="1"/>
  <c r="AF116" i="1"/>
  <c r="O116" i="1"/>
  <c r="P116" i="1" s="1"/>
  <c r="L116" i="1"/>
  <c r="N116" i="1" s="1"/>
  <c r="O115" i="1"/>
  <c r="P115" i="1" s="1"/>
  <c r="L115" i="1"/>
  <c r="N115" i="1" s="1"/>
  <c r="E115" i="1"/>
  <c r="C114" i="5" s="1"/>
  <c r="C115" i="5" s="1"/>
  <c r="C116" i="5" s="1"/>
  <c r="C117" i="5" s="1"/>
  <c r="C118" i="5" s="1"/>
  <c r="C119" i="5" s="1"/>
  <c r="C120" i="5" s="1"/>
  <c r="AF111" i="1"/>
  <c r="O111" i="1"/>
  <c r="P111" i="1" s="1"/>
  <c r="L111" i="1"/>
  <c r="N111" i="1" s="1"/>
  <c r="K111" i="1"/>
  <c r="G111" i="1"/>
  <c r="AK110" i="1" s="1" a="1"/>
  <c r="AK110" i="1" s="1"/>
  <c r="AL110" i="1" s="1"/>
  <c r="AF110" i="1"/>
  <c r="AE110" i="1"/>
  <c r="O110" i="1"/>
  <c r="P110" i="1" s="1"/>
  <c r="L110" i="1"/>
  <c r="N110" i="1" s="1"/>
  <c r="K110" i="1"/>
  <c r="G110" i="1"/>
  <c r="AK109" i="1" s="1" a="1"/>
  <c r="AK109" i="1" s="1"/>
  <c r="AL109" i="1" s="1"/>
  <c r="AF109" i="1"/>
  <c r="O109" i="1"/>
  <c r="P109" i="1" s="1"/>
  <c r="L109" i="1"/>
  <c r="N109" i="1" s="1"/>
  <c r="AF108" i="1"/>
  <c r="O108" i="1"/>
  <c r="P108" i="1" s="1"/>
  <c r="L108" i="1"/>
  <c r="N108" i="1" s="1"/>
  <c r="AF107" i="1"/>
  <c r="O107" i="1"/>
  <c r="P107" i="1" s="1"/>
  <c r="L107" i="1"/>
  <c r="N107" i="1" s="1"/>
  <c r="AF106" i="1"/>
  <c r="O106" i="1"/>
  <c r="P106" i="1" s="1"/>
  <c r="L106" i="1"/>
  <c r="N106" i="1" s="1"/>
  <c r="O105" i="1"/>
  <c r="P105" i="1" s="1"/>
  <c r="L105" i="1"/>
  <c r="N105" i="1" s="1"/>
  <c r="E105" i="1"/>
  <c r="C104" i="5" s="1"/>
  <c r="C105" i="5" s="1"/>
  <c r="C106" i="5" s="1"/>
  <c r="C107" i="5" s="1"/>
  <c r="C108" i="5" s="1"/>
  <c r="C109" i="5" s="1"/>
  <c r="C110" i="5" s="1"/>
  <c r="AF101" i="1"/>
  <c r="O101" i="1"/>
  <c r="P101" i="1" s="1"/>
  <c r="L101" i="1"/>
  <c r="N101" i="1" s="1"/>
  <c r="K101" i="1"/>
  <c r="G101" i="1"/>
  <c r="AK100" i="1" s="1" a="1"/>
  <c r="AK100" i="1" s="1"/>
  <c r="AL100" i="1" s="1"/>
  <c r="AF100" i="1"/>
  <c r="AE100" i="1"/>
  <c r="O100" i="1"/>
  <c r="P100" i="1" s="1"/>
  <c r="L100" i="1"/>
  <c r="N100" i="1" s="1"/>
  <c r="AF99" i="1"/>
  <c r="O99" i="1"/>
  <c r="P99" i="1" s="1"/>
  <c r="L99" i="1"/>
  <c r="N99" i="1" s="1"/>
  <c r="AF98" i="1"/>
  <c r="O98" i="1"/>
  <c r="P98" i="1" s="1"/>
  <c r="L98" i="1"/>
  <c r="N98" i="1" s="1"/>
  <c r="AF97" i="1"/>
  <c r="O97" i="1"/>
  <c r="P97" i="1" s="1"/>
  <c r="L97" i="1"/>
  <c r="N97" i="1" s="1"/>
  <c r="AF96" i="1"/>
  <c r="O96" i="1"/>
  <c r="P96" i="1" s="1"/>
  <c r="L96" i="1"/>
  <c r="N96" i="1" s="1"/>
  <c r="O95" i="1"/>
  <c r="P95" i="1" s="1"/>
  <c r="L95" i="1"/>
  <c r="N95" i="1" s="1"/>
  <c r="E95" i="1"/>
  <c r="C94" i="5" s="1"/>
  <c r="C95" i="5" s="1"/>
  <c r="C96" i="5" s="1"/>
  <c r="C97" i="5" s="1"/>
  <c r="C98" i="5" s="1"/>
  <c r="C99" i="5" s="1"/>
  <c r="C100" i="5" s="1"/>
  <c r="AF91" i="1"/>
  <c r="O91" i="1"/>
  <c r="P91" i="1" s="1"/>
  <c r="L91" i="1"/>
  <c r="N91" i="1" s="1"/>
  <c r="K91" i="1"/>
  <c r="G91" i="1"/>
  <c r="AF90" i="1"/>
  <c r="AE90" i="1"/>
  <c r="O90" i="1"/>
  <c r="P90" i="1" s="1"/>
  <c r="L90" i="1"/>
  <c r="N90" i="1" s="1"/>
  <c r="K90" i="1"/>
  <c r="G90" i="1"/>
  <c r="AK89" i="1" s="1" a="1"/>
  <c r="AK89" i="1" s="1"/>
  <c r="AL89" i="1" s="1"/>
  <c r="AF89" i="1"/>
  <c r="AF88" i="1"/>
  <c r="AF87" i="1"/>
  <c r="AF86" i="1"/>
  <c r="E85" i="1"/>
  <c r="C84" i="5" s="1"/>
  <c r="C85" i="5" s="1"/>
  <c r="C86" i="5" s="1"/>
  <c r="C87" i="5" s="1"/>
  <c r="C88" i="5" s="1"/>
  <c r="C89" i="5" s="1"/>
  <c r="C90" i="5" s="1"/>
  <c r="AF81" i="1"/>
  <c r="O81" i="1"/>
  <c r="P81" i="1" s="1"/>
  <c r="L81" i="1"/>
  <c r="N81" i="1" s="1"/>
  <c r="K81" i="1"/>
  <c r="G81" i="1"/>
  <c r="AK80" i="1" s="1" a="1"/>
  <c r="AK80" i="1" s="1"/>
  <c r="AL80" i="1" s="1"/>
  <c r="AF80" i="1"/>
  <c r="AE80" i="1"/>
  <c r="O80" i="1"/>
  <c r="P80" i="1" s="1"/>
  <c r="L80" i="1"/>
  <c r="N80" i="1" s="1"/>
  <c r="K80" i="1"/>
  <c r="G80" i="1"/>
  <c r="AK79" i="1" s="1" a="1"/>
  <c r="AK79" i="1" s="1"/>
  <c r="AL79" i="1" s="1"/>
  <c r="AF79" i="1"/>
  <c r="K79" i="1"/>
  <c r="G79" i="1"/>
  <c r="AK78" i="1" s="1" a="1"/>
  <c r="AK78" i="1" s="1"/>
  <c r="AL78" i="1" s="1"/>
  <c r="AF78" i="1"/>
  <c r="K78" i="1"/>
  <c r="G78" i="1"/>
  <c r="AK77" i="1" s="1" a="1"/>
  <c r="AK77" i="1" s="1"/>
  <c r="AL77" i="1" s="1"/>
  <c r="AF77" i="1"/>
  <c r="K77" i="1"/>
  <c r="G77" i="1"/>
  <c r="AK76" i="1" s="1" a="1"/>
  <c r="AK76" i="1" s="1"/>
  <c r="AL76" i="1" s="1"/>
  <c r="AF76" i="1"/>
  <c r="K76" i="1"/>
  <c r="G76" i="1"/>
  <c r="K75" i="1"/>
  <c r="G75" i="1"/>
  <c r="E75" i="1"/>
  <c r="C74" i="5" s="1"/>
  <c r="C75" i="5" s="1"/>
  <c r="C76" i="5" s="1"/>
  <c r="C77" i="5" s="1"/>
  <c r="C78" i="5" s="1"/>
  <c r="C79" i="5" s="1"/>
  <c r="C80" i="5" s="1"/>
  <c r="AF71" i="1"/>
  <c r="O71" i="1"/>
  <c r="P71" i="1" s="1"/>
  <c r="L71" i="1"/>
  <c r="N71" i="1" s="1"/>
  <c r="K71" i="1"/>
  <c r="G71" i="1"/>
  <c r="AK70" i="1" s="1" a="1"/>
  <c r="AK70" i="1" s="1"/>
  <c r="AL70" i="1" s="1"/>
  <c r="AF70" i="1"/>
  <c r="AE70" i="1"/>
  <c r="O70" i="1"/>
  <c r="P70" i="1" s="1"/>
  <c r="L70" i="1"/>
  <c r="N70" i="1" s="1"/>
  <c r="K70" i="1"/>
  <c r="G70" i="1"/>
  <c r="AK69" i="1" s="1" a="1"/>
  <c r="AK69" i="1" s="1"/>
  <c r="AL69" i="1" s="1"/>
  <c r="AF69" i="1"/>
  <c r="O69" i="1"/>
  <c r="P69" i="1" s="1"/>
  <c r="L69" i="1"/>
  <c r="N69" i="1" s="1"/>
  <c r="AF68" i="1"/>
  <c r="O68" i="1"/>
  <c r="P68" i="1" s="1"/>
  <c r="L68" i="1"/>
  <c r="N68" i="1" s="1"/>
  <c r="AF67" i="1"/>
  <c r="O67" i="1"/>
  <c r="P67" i="1" s="1"/>
  <c r="L67" i="1"/>
  <c r="N67" i="1" s="1"/>
  <c r="AF66" i="1"/>
  <c r="O66" i="1"/>
  <c r="P66" i="1" s="1"/>
  <c r="L66" i="1"/>
  <c r="N66" i="1" s="1"/>
  <c r="O65" i="1"/>
  <c r="P65" i="1" s="1"/>
  <c r="L65" i="1"/>
  <c r="N65" i="1" s="1"/>
  <c r="E65" i="1"/>
  <c r="C64" i="5" s="1"/>
  <c r="C65" i="5" s="1"/>
  <c r="C66" i="5" s="1"/>
  <c r="C67" i="5" s="1"/>
  <c r="C68" i="5" s="1"/>
  <c r="C69" i="5" s="1"/>
  <c r="C70" i="5" s="1"/>
  <c r="AF61" i="1"/>
  <c r="O61" i="1"/>
  <c r="P61" i="1" s="1"/>
  <c r="L61" i="1"/>
  <c r="N61" i="1" s="1"/>
  <c r="K61" i="1"/>
  <c r="G61" i="1"/>
  <c r="AK60" i="1" s="1" a="1"/>
  <c r="AK60" i="1" s="1"/>
  <c r="AL60" i="1" s="1"/>
  <c r="AF60" i="1"/>
  <c r="AE60" i="1"/>
  <c r="O60" i="1"/>
  <c r="P60" i="1" s="1"/>
  <c r="L60" i="1"/>
  <c r="N60" i="1" s="1"/>
  <c r="K60" i="1"/>
  <c r="G60" i="1"/>
  <c r="AK59" i="1" s="1" a="1"/>
  <c r="AK59" i="1" s="1"/>
  <c r="AL59" i="1" s="1"/>
  <c r="AF59" i="1"/>
  <c r="O59" i="1"/>
  <c r="P59" i="1" s="1"/>
  <c r="L59" i="1"/>
  <c r="N59" i="1" s="1"/>
  <c r="AF58" i="1"/>
  <c r="O58" i="1"/>
  <c r="P58" i="1" s="1"/>
  <c r="L58" i="1"/>
  <c r="N58" i="1" s="1"/>
  <c r="AF57" i="1"/>
  <c r="O57" i="1"/>
  <c r="P57" i="1" s="1"/>
  <c r="L57" i="1"/>
  <c r="N57" i="1" s="1"/>
  <c r="AF56" i="1"/>
  <c r="O56" i="1"/>
  <c r="P56" i="1" s="1"/>
  <c r="L56" i="1"/>
  <c r="N56" i="1" s="1"/>
  <c r="O55" i="1"/>
  <c r="P55" i="1" s="1"/>
  <c r="L55" i="1"/>
  <c r="N55" i="1" s="1"/>
  <c r="E55" i="1"/>
  <c r="C54" i="5" s="1"/>
  <c r="C55" i="5" s="1"/>
  <c r="C56" i="5" s="1"/>
  <c r="C57" i="5" s="1"/>
  <c r="C58" i="5" s="1"/>
  <c r="C59" i="5" s="1"/>
  <c r="C60" i="5" s="1"/>
  <c r="AF51" i="1"/>
  <c r="O51" i="1"/>
  <c r="P51" i="1" s="1"/>
  <c r="L51" i="1"/>
  <c r="N51" i="1" s="1"/>
  <c r="K51" i="1"/>
  <c r="G51" i="1"/>
  <c r="AK50" i="1" s="1" a="1"/>
  <c r="AK50" i="1" s="1"/>
  <c r="AL50" i="1" s="1"/>
  <c r="AF50" i="1"/>
  <c r="AE50" i="1"/>
  <c r="O50" i="1"/>
  <c r="P50" i="1" s="1"/>
  <c r="L50" i="1"/>
  <c r="N50" i="1" s="1"/>
  <c r="K50" i="1"/>
  <c r="G50" i="1"/>
  <c r="AK49" i="1" s="1" a="1"/>
  <c r="AK49" i="1" s="1"/>
  <c r="AL49" i="1" s="1"/>
  <c r="O49" i="1"/>
  <c r="P49" i="1" s="1"/>
  <c r="L49" i="1"/>
  <c r="N49" i="1" s="1"/>
  <c r="O48" i="1"/>
  <c r="P48" i="1" s="1"/>
  <c r="L48" i="1"/>
  <c r="N48" i="1" s="1"/>
  <c r="AF47" i="1"/>
  <c r="O47" i="1"/>
  <c r="P47" i="1" s="1"/>
  <c r="L47" i="1"/>
  <c r="N47" i="1" s="1"/>
  <c r="AF46" i="1"/>
  <c r="O46" i="1"/>
  <c r="P46" i="1" s="1"/>
  <c r="L46" i="1"/>
  <c r="N46" i="1" s="1"/>
  <c r="O45" i="1"/>
  <c r="P45" i="1" s="1"/>
  <c r="L45" i="1"/>
  <c r="N45" i="1" s="1"/>
  <c r="E45" i="1"/>
  <c r="C44" i="5" s="1"/>
  <c r="C45" i="5" s="1"/>
  <c r="C46" i="5" s="1"/>
  <c r="C47" i="5" s="1"/>
  <c r="C48" i="5" s="1"/>
  <c r="C49" i="5" s="1"/>
  <c r="C50" i="5" s="1"/>
  <c r="AF41" i="1"/>
  <c r="O41" i="1"/>
  <c r="P41" i="1" s="1"/>
  <c r="L41" i="1"/>
  <c r="N41" i="1" s="1"/>
  <c r="K41" i="1"/>
  <c r="G41" i="1"/>
  <c r="AK40" i="1" s="1" a="1"/>
  <c r="AK40" i="1" s="1"/>
  <c r="AL40" i="1" s="1"/>
  <c r="AF40" i="1"/>
  <c r="AE40" i="1"/>
  <c r="O40" i="1"/>
  <c r="P40" i="1" s="1"/>
  <c r="L40" i="1"/>
  <c r="N40" i="1" s="1"/>
  <c r="K40" i="1"/>
  <c r="G40" i="1"/>
  <c r="AK39" i="1" s="1" a="1"/>
  <c r="AK39" i="1" s="1"/>
  <c r="AL39" i="1" s="1"/>
  <c r="AF39" i="1"/>
  <c r="O39" i="1"/>
  <c r="P39" i="1" s="1"/>
  <c r="L39" i="1"/>
  <c r="N39" i="1" s="1"/>
  <c r="AF38" i="1"/>
  <c r="O38" i="1"/>
  <c r="P38" i="1" s="1"/>
  <c r="L38" i="1"/>
  <c r="N38" i="1" s="1"/>
  <c r="AF37" i="1"/>
  <c r="O37" i="1"/>
  <c r="P37" i="1" s="1"/>
  <c r="L37" i="1"/>
  <c r="N37" i="1" s="1"/>
  <c r="AF36" i="1"/>
  <c r="O36" i="1"/>
  <c r="P36" i="1" s="1"/>
  <c r="L36" i="1"/>
  <c r="N36" i="1" s="1"/>
  <c r="O35" i="1"/>
  <c r="P35" i="1" s="1"/>
  <c r="L35" i="1"/>
  <c r="N35" i="1" s="1"/>
  <c r="E35" i="1"/>
  <c r="C34" i="5" s="1"/>
  <c r="C35" i="5" s="1"/>
  <c r="C36" i="5" s="1"/>
  <c r="C37" i="5" s="1"/>
  <c r="C38" i="5" s="1"/>
  <c r="C39" i="5" s="1"/>
  <c r="C40" i="5" s="1"/>
  <c r="AF31" i="1"/>
  <c r="O31" i="1"/>
  <c r="P31" i="1" s="1"/>
  <c r="L31" i="1"/>
  <c r="N31" i="1" s="1"/>
  <c r="AF30" i="1"/>
  <c r="AE30" i="1"/>
  <c r="O30" i="1"/>
  <c r="P30" i="1" s="1"/>
  <c r="L30" i="1"/>
  <c r="N30" i="1" s="1"/>
  <c r="AF29" i="1"/>
  <c r="O29" i="1"/>
  <c r="P29" i="1" s="1"/>
  <c r="L29" i="1"/>
  <c r="N29" i="1" s="1"/>
  <c r="AF28" i="1"/>
  <c r="O28" i="1"/>
  <c r="P28" i="1" s="1"/>
  <c r="L28" i="1"/>
  <c r="N28" i="1" s="1"/>
  <c r="AF27" i="1"/>
  <c r="O27" i="1"/>
  <c r="P27" i="1" s="1"/>
  <c r="L27" i="1"/>
  <c r="N27" i="1" s="1"/>
  <c r="AF26" i="1"/>
  <c r="O26" i="1"/>
  <c r="P26" i="1" s="1"/>
  <c r="L26" i="1"/>
  <c r="N26" i="1" s="1"/>
  <c r="O25" i="1"/>
  <c r="P25" i="1" s="1"/>
  <c r="L25" i="1"/>
  <c r="N25" i="1" s="1"/>
  <c r="E25" i="1"/>
  <c r="C24" i="5" s="1"/>
  <c r="C25" i="5" s="1"/>
  <c r="C26" i="5" s="1"/>
  <c r="C27" i="5" s="1"/>
  <c r="C28" i="5" s="1"/>
  <c r="C29" i="5" s="1"/>
  <c r="C30" i="5" s="1"/>
  <c r="O21" i="1"/>
  <c r="P21" i="1" s="1"/>
  <c r="L21" i="1"/>
  <c r="N21" i="1" s="1"/>
  <c r="AE20" i="1"/>
  <c r="O20" i="1"/>
  <c r="P20" i="1" s="1"/>
  <c r="L20" i="1"/>
  <c r="N20" i="1" s="1"/>
  <c r="K20" i="1"/>
  <c r="G20" i="1"/>
  <c r="AK19" i="1" s="1" a="1"/>
  <c r="AK19" i="1" s="1"/>
  <c r="AL19" i="1" s="1"/>
  <c r="O19" i="1"/>
  <c r="P19" i="1" s="1"/>
  <c r="L19" i="1"/>
  <c r="N19" i="1" s="1"/>
  <c r="O18" i="1"/>
  <c r="P18" i="1" s="1"/>
  <c r="L18" i="1"/>
  <c r="N18" i="1" s="1"/>
  <c r="O17" i="1"/>
  <c r="P17" i="1" s="1"/>
  <c r="L17" i="1"/>
  <c r="N17" i="1" s="1"/>
  <c r="O16" i="1"/>
  <c r="P16" i="1" s="1"/>
  <c r="L16" i="1"/>
  <c r="N16" i="1" s="1"/>
  <c r="O15" i="1"/>
  <c r="P15" i="1" s="1"/>
  <c r="L15" i="1"/>
  <c r="N15" i="1" s="1"/>
  <c r="E15" i="1"/>
  <c r="C14" i="5" s="1"/>
  <c r="C15" i="5" s="1"/>
  <c r="C16" i="5" s="1"/>
  <c r="C17" i="5" s="1"/>
  <c r="C18" i="5" s="1"/>
  <c r="C19" i="5" s="1"/>
  <c r="C20" i="5" s="1"/>
  <c r="O11" i="1"/>
  <c r="P11" i="1" s="1"/>
  <c r="L11" i="1"/>
  <c r="N11" i="1" s="1"/>
  <c r="AE10" i="1"/>
  <c r="O10" i="1"/>
  <c r="P10" i="1" s="1"/>
  <c r="L10" i="1"/>
  <c r="N10" i="1" s="1"/>
  <c r="O9" i="1"/>
  <c r="P9" i="1" s="1"/>
  <c r="L9" i="1"/>
  <c r="N9" i="1" s="1"/>
  <c r="O8" i="1"/>
  <c r="P8" i="1" s="1"/>
  <c r="L8" i="1"/>
  <c r="N8" i="1" s="1"/>
  <c r="O7" i="1"/>
  <c r="P7" i="1" s="1"/>
  <c r="L7" i="1"/>
  <c r="N7" i="1" s="1"/>
  <c r="O6" i="1"/>
  <c r="P6" i="1" s="1"/>
  <c r="L6" i="1"/>
  <c r="N6" i="1" s="1"/>
  <c r="O5" i="1"/>
  <c r="P5" i="1" s="1"/>
  <c r="N140" i="1" l="1"/>
  <c r="N515" i="1"/>
  <c r="L455" i="1"/>
  <c r="N455" i="1" s="1"/>
  <c r="O455" i="1"/>
  <c r="P455" i="1" s="1"/>
  <c r="L517" i="1"/>
  <c r="N517" i="1" s="1"/>
  <c r="L177" i="1"/>
  <c r="O517" i="1"/>
  <c r="P517" i="1" s="1"/>
  <c r="O177" i="1"/>
  <c r="P177" i="1" s="1"/>
  <c r="L239" i="1"/>
  <c r="L328" i="1"/>
  <c r="L439" i="1"/>
  <c r="N439" i="1" s="1"/>
  <c r="L78" i="1"/>
  <c r="L189" i="1"/>
  <c r="L135" i="1"/>
  <c r="L188" i="1"/>
  <c r="N188" i="1" s="1"/>
  <c r="O187" i="1"/>
  <c r="P187" i="1" s="1"/>
  <c r="O135" i="1"/>
  <c r="P135" i="1" s="1"/>
  <c r="O188" i="1"/>
  <c r="P188" i="1" s="1"/>
  <c r="G345" i="1"/>
  <c r="E306" i="1"/>
  <c r="E336" i="1"/>
  <c r="K425" i="1"/>
  <c r="E446" i="1"/>
  <c r="E447" i="1" s="1"/>
  <c r="L85" i="1"/>
  <c r="E316" i="1"/>
  <c r="O85" i="1"/>
  <c r="P85" i="1" s="1"/>
  <c r="G125" i="1"/>
  <c r="E246" i="1"/>
  <c r="E386" i="1"/>
  <c r="E436" i="1"/>
  <c r="G455" i="1"/>
  <c r="K465" i="1"/>
  <c r="E476" i="1"/>
  <c r="G375" i="1"/>
  <c r="O79" i="1"/>
  <c r="P79" i="1" s="1"/>
  <c r="L86" i="1"/>
  <c r="N86" i="1" s="1"/>
  <c r="E136" i="1"/>
  <c r="G145" i="1"/>
  <c r="E196" i="1"/>
  <c r="E256" i="1"/>
  <c r="G256" i="1" s="1"/>
  <c r="G285" i="1"/>
  <c r="E326" i="1"/>
  <c r="E516" i="1"/>
  <c r="E166" i="1"/>
  <c r="E167" i="1" s="1"/>
  <c r="G175" i="1"/>
  <c r="O89" i="1"/>
  <c r="P89" i="1" s="1"/>
  <c r="O86" i="1"/>
  <c r="P86" i="1" s="1"/>
  <c r="G355" i="1"/>
  <c r="E396" i="1"/>
  <c r="G486" i="1"/>
  <c r="E276" i="1"/>
  <c r="E226" i="1"/>
  <c r="E236" i="1"/>
  <c r="G415" i="1"/>
  <c r="E506" i="1"/>
  <c r="G205" i="1"/>
  <c r="G265" i="1"/>
  <c r="E296" i="1"/>
  <c r="E116" i="1"/>
  <c r="O189" i="1"/>
  <c r="P189" i="1" s="1"/>
  <c r="E216" i="1"/>
  <c r="E156" i="1"/>
  <c r="L75" i="1"/>
  <c r="N75" i="1" s="1"/>
  <c r="L87" i="1"/>
  <c r="N87" i="1" s="1"/>
  <c r="G105" i="1"/>
  <c r="E366" i="1"/>
  <c r="K405" i="1"/>
  <c r="G495" i="1"/>
  <c r="AK90" i="1" a="1"/>
  <c r="AK90" i="1" s="1"/>
  <c r="AL90" i="1" s="1"/>
  <c r="AK75" i="1" a="1"/>
  <c r="AK75" i="1" s="1"/>
  <c r="AL75" i="1" s="1"/>
  <c r="E526" i="1"/>
  <c r="AK270" i="1" a="1"/>
  <c r="AK270" i="1" s="1"/>
  <c r="AL270" i="1" s="1"/>
  <c r="E66" i="1"/>
  <c r="E76" i="1"/>
  <c r="E56" i="1"/>
  <c r="K35" i="1"/>
  <c r="E46" i="1"/>
  <c r="K85" i="1"/>
  <c r="K95" i="1"/>
  <c r="L77" i="1"/>
  <c r="N77" i="1" s="1"/>
  <c r="L76" i="1"/>
  <c r="N76" i="1" s="1"/>
  <c r="O77" i="1"/>
  <c r="P77" i="1" s="1"/>
  <c r="O87" i="1"/>
  <c r="P87" i="1" s="1"/>
  <c r="L88" i="1"/>
  <c r="N88" i="1" s="1"/>
  <c r="E16" i="1"/>
  <c r="E26" i="1"/>
  <c r="O75" i="1"/>
  <c r="P75" i="1" s="1"/>
  <c r="O78" i="1"/>
  <c r="P78" i="1" s="1"/>
  <c r="O76" i="1"/>
  <c r="P76" i="1" s="1"/>
  <c r="O88" i="1"/>
  <c r="P88" i="1" s="1"/>
  <c r="M5" i="1"/>
  <c r="J10" i="4"/>
  <c r="M7" i="1"/>
  <c r="M10" i="1"/>
  <c r="M8" i="1"/>
  <c r="M6" i="1"/>
  <c r="M11" i="1"/>
  <c r="M9" i="1"/>
  <c r="M21" i="1"/>
  <c r="M36" i="1"/>
  <c r="M45" i="1"/>
  <c r="M50" i="1"/>
  <c r="M61" i="1"/>
  <c r="M101" i="1"/>
  <c r="M118" i="1"/>
  <c r="M120" i="1"/>
  <c r="M139" i="1"/>
  <c r="M171" i="1"/>
  <c r="M218" i="1"/>
  <c r="M225" i="1"/>
  <c r="M230" i="1"/>
  <c r="M241" i="1"/>
  <c r="M297" i="1"/>
  <c r="M329" i="1"/>
  <c r="M351" i="1"/>
  <c r="M368" i="1"/>
  <c r="M370" i="1"/>
  <c r="M381" i="1"/>
  <c r="M398" i="1"/>
  <c r="M400" i="1"/>
  <c r="M411" i="1"/>
  <c r="M426" i="1"/>
  <c r="M435" i="1"/>
  <c r="M440" i="1"/>
  <c r="M461" i="1"/>
  <c r="M476" i="1"/>
  <c r="M485" i="1"/>
  <c r="M141" i="1"/>
  <c r="M209" i="1"/>
  <c r="M320" i="1"/>
  <c r="M345" i="1"/>
  <c r="M457" i="1"/>
  <c r="M31" i="1"/>
  <c r="M90" i="1"/>
  <c r="M116" i="1"/>
  <c r="M125" i="1"/>
  <c r="M137" i="1"/>
  <c r="M149" i="1"/>
  <c r="M158" i="1"/>
  <c r="M160" i="1"/>
  <c r="M216" i="1"/>
  <c r="M228" i="1"/>
  <c r="M235" i="1"/>
  <c r="M249" i="1"/>
  <c r="M277" i="1"/>
  <c r="M279" i="1"/>
  <c r="M309" i="1"/>
  <c r="M327" i="1"/>
  <c r="M366" i="1"/>
  <c r="M375" i="1"/>
  <c r="M396" i="1"/>
  <c r="M405" i="1"/>
  <c r="M421" i="1"/>
  <c r="M438" i="1"/>
  <c r="M448" i="1"/>
  <c r="M450" i="1"/>
  <c r="M471" i="1"/>
  <c r="M488" i="1"/>
  <c r="M490" i="1"/>
  <c r="M501" i="1"/>
  <c r="M521" i="1"/>
  <c r="M69" i="1"/>
  <c r="M265" i="1"/>
  <c r="M389" i="1"/>
  <c r="M506" i="1"/>
  <c r="M27" i="1"/>
  <c r="M39" i="1"/>
  <c r="M67" i="1"/>
  <c r="M79" i="1"/>
  <c r="M107" i="1"/>
  <c r="M128" i="1"/>
  <c r="M130" i="1"/>
  <c r="M186" i="1"/>
  <c r="M198" i="1"/>
  <c r="M200" i="1"/>
  <c r="M207" i="1"/>
  <c r="M251" i="1"/>
  <c r="M268" i="1"/>
  <c r="M270" i="1"/>
  <c r="M286" i="1"/>
  <c r="M295" i="1"/>
  <c r="M316" i="1"/>
  <c r="M331" i="1"/>
  <c r="M357" i="1"/>
  <c r="M387" i="1"/>
  <c r="M417" i="1"/>
  <c r="M429" i="1"/>
  <c r="M467" i="1"/>
  <c r="M479" i="1"/>
  <c r="M179" i="1"/>
  <c r="M18" i="1"/>
  <c r="M20" i="1"/>
  <c r="M46" i="1"/>
  <c r="M58" i="1"/>
  <c r="M60" i="1"/>
  <c r="M71" i="1"/>
  <c r="M95" i="1"/>
  <c r="M100" i="1"/>
  <c r="M111" i="1"/>
  <c r="M147" i="1"/>
  <c r="M156" i="1"/>
  <c r="M165" i="1"/>
  <c r="M170" i="1"/>
  <c r="M181" i="1"/>
  <c r="M211" i="1"/>
  <c r="M226" i="1"/>
  <c r="M238" i="1"/>
  <c r="M240" i="1"/>
  <c r="M247" i="1"/>
  <c r="M259" i="1"/>
  <c r="M307" i="1"/>
  <c r="M339" i="1"/>
  <c r="M348" i="1"/>
  <c r="M350" i="1"/>
  <c r="M361" i="1"/>
  <c r="M378" i="1"/>
  <c r="M380" i="1"/>
  <c r="M391" i="1"/>
  <c r="M408" i="1"/>
  <c r="M410" i="1"/>
  <c r="M436" i="1"/>
  <c r="M446" i="1"/>
  <c r="M455" i="1"/>
  <c r="M460" i="1"/>
  <c r="M486" i="1"/>
  <c r="M509" i="1"/>
  <c r="M29" i="1"/>
  <c r="M195" i="1"/>
  <c r="M419" i="1"/>
  <c r="M15" i="1"/>
  <c r="M55" i="1"/>
  <c r="M37" i="1"/>
  <c r="M119" i="1"/>
  <c r="M151" i="1"/>
  <c r="M196" i="1"/>
  <c r="M205" i="1"/>
  <c r="M219" i="1"/>
  <c r="M266" i="1"/>
  <c r="M275" i="1"/>
  <c r="M281" i="1"/>
  <c r="M298" i="1"/>
  <c r="M300" i="1"/>
  <c r="M311" i="1"/>
  <c r="M369" i="1"/>
  <c r="M399" i="1"/>
  <c r="M427" i="1"/>
  <c r="M477" i="1"/>
  <c r="M288" i="1"/>
  <c r="M497" i="1"/>
  <c r="M16" i="1"/>
  <c r="M25" i="1"/>
  <c r="M30" i="1"/>
  <c r="M49" i="1"/>
  <c r="M56" i="1"/>
  <c r="M81" i="1"/>
  <c r="M98" i="1"/>
  <c r="M105" i="1"/>
  <c r="M126" i="1"/>
  <c r="M168" i="1"/>
  <c r="M175" i="1"/>
  <c r="M221" i="1"/>
  <c r="M236" i="1"/>
  <c r="M245" i="1"/>
  <c r="M257" i="1"/>
  <c r="M289" i="1"/>
  <c r="M319" i="1"/>
  <c r="M337" i="1"/>
  <c r="M346" i="1"/>
  <c r="M355" i="1"/>
  <c r="M376" i="1"/>
  <c r="M385" i="1"/>
  <c r="M406" i="1"/>
  <c r="M415" i="1"/>
  <c r="M420" i="1"/>
  <c r="M431" i="1"/>
  <c r="M441" i="1"/>
  <c r="M458" i="1"/>
  <c r="M465" i="1"/>
  <c r="M470" i="1"/>
  <c r="M481" i="1"/>
  <c r="M498" i="1"/>
  <c r="M500" i="1"/>
  <c r="M507" i="1"/>
  <c r="M518" i="1"/>
  <c r="M520" i="1"/>
  <c r="M48" i="1"/>
  <c r="M89" i="1"/>
  <c r="M117" i="1"/>
  <c r="M138" i="1"/>
  <c r="M140" i="1"/>
  <c r="M145" i="1"/>
  <c r="M159" i="1"/>
  <c r="M191" i="1"/>
  <c r="M217" i="1"/>
  <c r="M229" i="1"/>
  <c r="M250" i="1"/>
  <c r="M261" i="1"/>
  <c r="M278" i="1"/>
  <c r="M296" i="1"/>
  <c r="M305" i="1"/>
  <c r="M330" i="1"/>
  <c r="M341" i="1"/>
  <c r="M367" i="1"/>
  <c r="M397" i="1"/>
  <c r="M449" i="1"/>
  <c r="M489" i="1"/>
  <c r="M511" i="1"/>
  <c r="M28" i="1"/>
  <c r="M35" i="1"/>
  <c r="M51" i="1"/>
  <c r="M68" i="1"/>
  <c r="M70" i="1"/>
  <c r="M96" i="1"/>
  <c r="M108" i="1"/>
  <c r="M110" i="1"/>
  <c r="M121" i="1"/>
  <c r="M129" i="1"/>
  <c r="M166" i="1"/>
  <c r="M178" i="1"/>
  <c r="M180" i="1"/>
  <c r="M187" i="1"/>
  <c r="M199" i="1"/>
  <c r="M208" i="1"/>
  <c r="M210" i="1"/>
  <c r="M231" i="1"/>
  <c r="M269" i="1"/>
  <c r="M287" i="1"/>
  <c r="M317" i="1"/>
  <c r="M358" i="1"/>
  <c r="M360" i="1"/>
  <c r="M371" i="1"/>
  <c r="M388" i="1"/>
  <c r="M390" i="1"/>
  <c r="M401" i="1"/>
  <c r="M418" i="1"/>
  <c r="M425" i="1"/>
  <c r="M456" i="1"/>
  <c r="M468" i="1"/>
  <c r="M475" i="1"/>
  <c r="M496" i="1"/>
  <c r="M505" i="1"/>
  <c r="M516" i="1"/>
  <c r="M97" i="1"/>
  <c r="M290" i="1"/>
  <c r="M19" i="1"/>
  <c r="M47" i="1"/>
  <c r="M59" i="1"/>
  <c r="M136" i="1"/>
  <c r="M148" i="1"/>
  <c r="M150" i="1"/>
  <c r="M157" i="1"/>
  <c r="M227" i="1"/>
  <c r="M248" i="1"/>
  <c r="M255" i="1"/>
  <c r="M276" i="1"/>
  <c r="M280" i="1"/>
  <c r="M291" i="1"/>
  <c r="M308" i="1"/>
  <c r="M310" i="1"/>
  <c r="M321" i="1"/>
  <c r="M326" i="1"/>
  <c r="M335" i="1"/>
  <c r="M349" i="1"/>
  <c r="M379" i="1"/>
  <c r="M409" i="1"/>
  <c r="M437" i="1"/>
  <c r="M447" i="1"/>
  <c r="M487" i="1"/>
  <c r="M109" i="1"/>
  <c r="M301" i="1"/>
  <c r="M469" i="1"/>
  <c r="M26" i="1"/>
  <c r="M38" i="1"/>
  <c r="M66" i="1"/>
  <c r="M80" i="1"/>
  <c r="M91" i="1"/>
  <c r="M106" i="1"/>
  <c r="M127" i="1"/>
  <c r="M161" i="1"/>
  <c r="M176" i="1"/>
  <c r="M185" i="1"/>
  <c r="M197" i="1"/>
  <c r="M206" i="1"/>
  <c r="M215" i="1"/>
  <c r="M220" i="1"/>
  <c r="M267" i="1"/>
  <c r="M299" i="1"/>
  <c r="M356" i="1"/>
  <c r="M365" i="1"/>
  <c r="M386" i="1"/>
  <c r="M395" i="1"/>
  <c r="M416" i="1"/>
  <c r="M428" i="1"/>
  <c r="M430" i="1"/>
  <c r="M451" i="1"/>
  <c r="M466" i="1"/>
  <c r="M478" i="1"/>
  <c r="M480" i="1"/>
  <c r="M491" i="1"/>
  <c r="M167" i="1"/>
  <c r="M256" i="1"/>
  <c r="M318" i="1"/>
  <c r="M336" i="1"/>
  <c r="M359" i="1"/>
  <c r="M17" i="1"/>
  <c r="M57" i="1"/>
  <c r="M99" i="1"/>
  <c r="M131" i="1"/>
  <c r="M146" i="1"/>
  <c r="M169" i="1"/>
  <c r="M190" i="1"/>
  <c r="M201" i="1"/>
  <c r="M237" i="1"/>
  <c r="M246" i="1"/>
  <c r="M258" i="1"/>
  <c r="M260" i="1"/>
  <c r="M271" i="1"/>
  <c r="M285" i="1"/>
  <c r="M306" i="1"/>
  <c r="M315" i="1"/>
  <c r="M338" i="1"/>
  <c r="M340" i="1"/>
  <c r="M347" i="1"/>
  <c r="M377" i="1"/>
  <c r="M407" i="1"/>
  <c r="M459" i="1"/>
  <c r="M499" i="1"/>
  <c r="M508" i="1"/>
  <c r="M510" i="1"/>
  <c r="M519" i="1"/>
  <c r="M41" i="1"/>
  <c r="M40" i="1"/>
  <c r="Q445" i="1"/>
  <c r="Q446" i="1" s="1"/>
  <c r="M445" i="1"/>
  <c r="Q495" i="1"/>
  <c r="Q496" i="1" s="1"/>
  <c r="M495" i="1"/>
  <c r="Q515" i="1"/>
  <c r="Q516" i="1" s="1"/>
  <c r="M515" i="1"/>
  <c r="G65" i="1"/>
  <c r="Q325" i="1"/>
  <c r="Q326" i="1" s="1"/>
  <c r="M325" i="1"/>
  <c r="Q65" i="1"/>
  <c r="Q66" i="1" s="1"/>
  <c r="M65" i="1"/>
  <c r="Q115" i="1"/>
  <c r="Q116" i="1" s="1"/>
  <c r="M115" i="1"/>
  <c r="Q155" i="1"/>
  <c r="Q156" i="1" s="1"/>
  <c r="M155" i="1"/>
  <c r="G55" i="1"/>
  <c r="K65" i="1"/>
  <c r="K55" i="1"/>
  <c r="K275" i="1"/>
  <c r="G225" i="1"/>
  <c r="G155" i="1"/>
  <c r="K155" i="1"/>
  <c r="G505" i="1"/>
  <c r="G508" i="1"/>
  <c r="G317" i="1"/>
  <c r="AK316" i="1" s="1" a="1"/>
  <c r="AK316" i="1" s="1"/>
  <c r="AL316" i="1" s="1"/>
  <c r="K506" i="1"/>
  <c r="K315" i="1"/>
  <c r="G509" i="1"/>
  <c r="K318" i="1"/>
  <c r="K295" i="1"/>
  <c r="K335" i="1"/>
  <c r="K508" i="1"/>
  <c r="K298" i="1"/>
  <c r="AE415" i="1"/>
  <c r="AE416" i="1" s="1"/>
  <c r="K505" i="1"/>
  <c r="G507" i="1"/>
  <c r="K509" i="1"/>
  <c r="G297" i="1"/>
  <c r="AK296" i="1" s="1" a="1"/>
  <c r="AK296" i="1" s="1"/>
  <c r="AL296" i="1" s="1"/>
  <c r="K306" i="1"/>
  <c r="K285" i="1"/>
  <c r="K296" i="1"/>
  <c r="K305" i="1"/>
  <c r="G307" i="1"/>
  <c r="AK306" i="1" s="1" a="1"/>
  <c r="AK306" i="1" s="1"/>
  <c r="AL306" i="1" s="1"/>
  <c r="G319" i="1"/>
  <c r="AK318" i="1" s="1" a="1"/>
  <c r="AK318" i="1" s="1"/>
  <c r="AL318" i="1" s="1"/>
  <c r="K325" i="1"/>
  <c r="G327" i="1"/>
  <c r="AK326" i="1" s="1" a="1"/>
  <c r="AK326" i="1" s="1"/>
  <c r="AL326" i="1" s="1"/>
  <c r="K328" i="1"/>
  <c r="G275" i="1"/>
  <c r="G295" i="1"/>
  <c r="G298" i="1"/>
  <c r="AK297" i="1" s="1" a="1"/>
  <c r="AK297" i="1" s="1"/>
  <c r="AL297" i="1" s="1"/>
  <c r="K299" i="1"/>
  <c r="G306" i="1"/>
  <c r="AK305" i="1" s="1" a="1"/>
  <c r="AK305" i="1" s="1"/>
  <c r="AL305" i="1" s="1"/>
  <c r="K307" i="1"/>
  <c r="G315" i="1"/>
  <c r="G318" i="1"/>
  <c r="AK317" i="1" s="1" a="1"/>
  <c r="AK317" i="1" s="1"/>
  <c r="AL317" i="1" s="1"/>
  <c r="K319" i="1"/>
  <c r="K327" i="1"/>
  <c r="G335" i="1"/>
  <c r="G517" i="1"/>
  <c r="AK516" i="1" s="1" a="1"/>
  <c r="AK516" i="1" s="1"/>
  <c r="AL516" i="1" s="1"/>
  <c r="K518" i="1"/>
  <c r="G309" i="1"/>
  <c r="AK308" i="1" s="1" a="1"/>
  <c r="AK308" i="1" s="1"/>
  <c r="AL308" i="1" s="1"/>
  <c r="G329" i="1"/>
  <c r="AK328" i="1" s="1" a="1"/>
  <c r="AK328" i="1" s="1"/>
  <c r="AL328" i="1" s="1"/>
  <c r="G516" i="1"/>
  <c r="AK515" i="1" s="1" a="1"/>
  <c r="AK515" i="1" s="1"/>
  <c r="AL515" i="1" s="1"/>
  <c r="K517" i="1"/>
  <c r="K225" i="1"/>
  <c r="G276" i="1"/>
  <c r="G296" i="1"/>
  <c r="AK295" i="1" s="1" a="1"/>
  <c r="AK295" i="1" s="1"/>
  <c r="AL295" i="1" s="1"/>
  <c r="K297" i="1"/>
  <c r="G305" i="1"/>
  <c r="G308" i="1"/>
  <c r="AK307" i="1" s="1" a="1"/>
  <c r="AK307" i="1" s="1"/>
  <c r="AL307" i="1" s="1"/>
  <c r="K309" i="1"/>
  <c r="G316" i="1"/>
  <c r="AK315" i="1" s="1" a="1"/>
  <c r="AK315" i="1" s="1"/>
  <c r="AL315" i="1" s="1"/>
  <c r="K317" i="1"/>
  <c r="G325" i="1"/>
  <c r="G328" i="1"/>
  <c r="AK327" i="1" s="1" a="1"/>
  <c r="AK327" i="1" s="1"/>
  <c r="AL327" i="1" s="1"/>
  <c r="K329" i="1"/>
  <c r="G506" i="1"/>
  <c r="K507" i="1"/>
  <c r="K516" i="1"/>
  <c r="G519" i="1"/>
  <c r="AK518" i="1" s="1" a="1"/>
  <c r="AK518" i="1" s="1"/>
  <c r="AL518" i="1" s="1"/>
  <c r="K276" i="1"/>
  <c r="G299" i="1"/>
  <c r="AK298" i="1" s="1" a="1"/>
  <c r="AK298" i="1" s="1"/>
  <c r="AL298" i="1" s="1"/>
  <c r="K308" i="1"/>
  <c r="K316" i="1"/>
  <c r="G518" i="1"/>
  <c r="AK517" i="1" s="1" a="1"/>
  <c r="AK517" i="1" s="1"/>
  <c r="AL517" i="1" s="1"/>
  <c r="K519" i="1"/>
  <c r="AE425" i="1"/>
  <c r="AE426" i="1" s="1"/>
  <c r="G436" i="1"/>
  <c r="K436" i="1"/>
  <c r="AE435" i="1"/>
  <c r="AE436" i="1" s="1"/>
  <c r="AE135" i="1"/>
  <c r="AE136" i="1" s="1"/>
  <c r="AE125" i="1"/>
  <c r="AE126" i="1" s="1"/>
  <c r="E286" i="1"/>
  <c r="AE525" i="1"/>
  <c r="AE526" i="1" s="1"/>
  <c r="K165" i="1"/>
  <c r="G385" i="1"/>
  <c r="G435" i="1"/>
  <c r="G255" i="1"/>
  <c r="K245" i="1"/>
  <c r="G425" i="1"/>
  <c r="G475" i="1"/>
  <c r="G465" i="1"/>
  <c r="AE305" i="1"/>
  <c r="AE306" i="1" s="1"/>
  <c r="AE495" i="1"/>
  <c r="AE496" i="1" s="1"/>
  <c r="G195" i="1"/>
  <c r="AE255" i="1"/>
  <c r="AE256" i="1" s="1"/>
  <c r="K355" i="1"/>
  <c r="AE455" i="1"/>
  <c r="AE456" i="1" s="1"/>
  <c r="E466" i="1"/>
  <c r="AE475" i="1"/>
  <c r="AE476" i="1" s="1"/>
  <c r="K135" i="1"/>
  <c r="E426" i="1"/>
  <c r="G95" i="1"/>
  <c r="E206" i="1"/>
  <c r="G235" i="1"/>
  <c r="G395" i="1"/>
  <c r="G445" i="1"/>
  <c r="G485" i="1"/>
  <c r="AE235" i="1"/>
  <c r="AE236" i="1" s="1"/>
  <c r="K445" i="1"/>
  <c r="K485" i="1"/>
  <c r="AE295" i="1"/>
  <c r="AE296" i="1" s="1"/>
  <c r="AE375" i="1"/>
  <c r="AE376" i="1" s="1"/>
  <c r="K265" i="1"/>
  <c r="AE175" i="1"/>
  <c r="AE176" i="1" s="1"/>
  <c r="AE215" i="1"/>
  <c r="AE216" i="1" s="1"/>
  <c r="E126" i="1"/>
  <c r="K125" i="1"/>
  <c r="K105" i="1"/>
  <c r="E96" i="1"/>
  <c r="E86" i="1"/>
  <c r="AE45" i="1"/>
  <c r="AE46" i="1" s="1"/>
  <c r="AE55" i="1"/>
  <c r="AE56" i="1" s="1"/>
  <c r="G35" i="1"/>
  <c r="G216" i="1"/>
  <c r="K216" i="1"/>
  <c r="G226" i="1"/>
  <c r="AE35" i="1"/>
  <c r="AE36" i="1" s="1"/>
  <c r="K175" i="1"/>
  <c r="E176" i="1"/>
  <c r="K205" i="1"/>
  <c r="AE245" i="1"/>
  <c r="AE246" i="1" s="1"/>
  <c r="AE265" i="1"/>
  <c r="AE266" i="1" s="1"/>
  <c r="K345" i="1"/>
  <c r="AE365" i="1"/>
  <c r="AE366" i="1" s="1"/>
  <c r="K385" i="1"/>
  <c r="AE465" i="1"/>
  <c r="AE466" i="1" s="1"/>
  <c r="AE515" i="1"/>
  <c r="AE516" i="1" s="1"/>
  <c r="G135" i="1"/>
  <c r="E146" i="1"/>
  <c r="AE505" i="1"/>
  <c r="AE506" i="1" s="1"/>
  <c r="AE95" i="1"/>
  <c r="AE96" i="1" s="1"/>
  <c r="G215" i="1"/>
  <c r="E406" i="1"/>
  <c r="E36" i="1"/>
  <c r="K145" i="1"/>
  <c r="AE205" i="1"/>
  <c r="AE206" i="1" s="1"/>
  <c r="K215" i="1"/>
  <c r="AE225" i="1"/>
  <c r="AE226" i="1" s="1"/>
  <c r="K255" i="1"/>
  <c r="E266" i="1"/>
  <c r="AE275" i="1"/>
  <c r="AE276" i="1" s="1"/>
  <c r="AE345" i="1"/>
  <c r="AE346" i="1" s="1"/>
  <c r="AE355" i="1"/>
  <c r="AE356" i="1" s="1"/>
  <c r="AE385" i="1"/>
  <c r="AE386" i="1" s="1"/>
  <c r="G405" i="1"/>
  <c r="AE445" i="1"/>
  <c r="AE446" i="1" s="1"/>
  <c r="E106" i="1"/>
  <c r="AE115" i="1"/>
  <c r="AE116" i="1" s="1"/>
  <c r="AE335" i="1"/>
  <c r="AE336" i="1" s="1"/>
  <c r="AE395" i="1"/>
  <c r="AE396" i="1" s="1"/>
  <c r="AE155" i="1"/>
  <c r="AE156" i="1" s="1"/>
  <c r="AE195" i="1"/>
  <c r="AE196" i="1" s="1"/>
  <c r="AE315" i="1"/>
  <c r="AE316" i="1" s="1"/>
  <c r="AE485" i="1"/>
  <c r="AE486" i="1" s="1"/>
  <c r="AE325" i="1"/>
  <c r="AE326" i="1" s="1"/>
  <c r="E346" i="1"/>
  <c r="E356" i="1"/>
  <c r="AE75" i="1"/>
  <c r="AE76" i="1" s="1"/>
  <c r="AE405" i="1"/>
  <c r="AE406" i="1" s="1"/>
  <c r="AE25" i="1"/>
  <c r="AE26" i="1" s="1"/>
  <c r="G15" i="1"/>
  <c r="K15" i="1"/>
  <c r="AE15" i="1"/>
  <c r="AE16" i="1" s="1"/>
  <c r="K6" i="1"/>
  <c r="E7" i="1"/>
  <c r="G6" i="1"/>
  <c r="G25" i="1"/>
  <c r="K5" i="1"/>
  <c r="K25" i="1"/>
  <c r="G85" i="1"/>
  <c r="AE145" i="1"/>
  <c r="AE146" i="1" s="1"/>
  <c r="K156" i="1"/>
  <c r="G156" i="1"/>
  <c r="AK155" i="1" s="1" a="1"/>
  <c r="AK155" i="1" s="1"/>
  <c r="AL155" i="1" s="1"/>
  <c r="E186" i="1"/>
  <c r="K185" i="1"/>
  <c r="G185" i="1"/>
  <c r="G5" i="1"/>
  <c r="G45" i="1"/>
  <c r="G115" i="1"/>
  <c r="AE185" i="1"/>
  <c r="AE186" i="1" s="1"/>
  <c r="K45" i="1"/>
  <c r="AE105" i="1"/>
  <c r="AE106" i="1" s="1"/>
  <c r="K115" i="1"/>
  <c r="AE165" i="1"/>
  <c r="AE166" i="1" s="1"/>
  <c r="G246" i="1"/>
  <c r="K246" i="1"/>
  <c r="AE65" i="1"/>
  <c r="AE66" i="1" s="1"/>
  <c r="K196" i="1"/>
  <c r="G196" i="1"/>
  <c r="K476" i="1"/>
  <c r="G476" i="1"/>
  <c r="K195" i="1"/>
  <c r="K226" i="1"/>
  <c r="K235" i="1"/>
  <c r="G437" i="1"/>
  <c r="K437" i="1"/>
  <c r="G165" i="1"/>
  <c r="G245" i="1"/>
  <c r="AE285" i="1"/>
  <c r="AE286" i="1" s="1"/>
  <c r="K366" i="1"/>
  <c r="G366" i="1"/>
  <c r="K396" i="1"/>
  <c r="G396" i="1"/>
  <c r="K386" i="1"/>
  <c r="G386" i="1"/>
  <c r="K336" i="1"/>
  <c r="G336" i="1"/>
  <c r="AK335" i="1" s="1" a="1"/>
  <c r="AK335" i="1" s="1"/>
  <c r="AL335" i="1" s="1"/>
  <c r="K375" i="1"/>
  <c r="E376" i="1"/>
  <c r="K415" i="1"/>
  <c r="E416" i="1"/>
  <c r="K446" i="1"/>
  <c r="K455" i="1"/>
  <c r="E456" i="1"/>
  <c r="K486" i="1"/>
  <c r="E487" i="1"/>
  <c r="K495" i="1"/>
  <c r="E496" i="1"/>
  <c r="G365" i="1"/>
  <c r="K395" i="1"/>
  <c r="K435" i="1"/>
  <c r="K475" i="1"/>
  <c r="K365" i="1"/>
  <c r="AE5" i="1"/>
  <c r="AE6" i="1" s="1"/>
  <c r="Q335" i="1"/>
  <c r="Q336" i="1" s="1"/>
  <c r="Q405" i="1"/>
  <c r="Q406" i="1" s="1"/>
  <c r="Q295" i="1"/>
  <c r="Q296" i="1" s="1"/>
  <c r="Q55" i="1"/>
  <c r="Q56" i="1" s="1"/>
  <c r="Q15" i="1"/>
  <c r="Q16" i="1" s="1"/>
  <c r="Q165" i="1"/>
  <c r="Q166" i="1" s="1"/>
  <c r="Q265" i="1"/>
  <c r="Q266" i="1" s="1"/>
  <c r="Q5" i="1"/>
  <c r="Q6" i="1" s="1"/>
  <c r="Q45" i="1"/>
  <c r="Q46" i="1" s="1"/>
  <c r="Q175" i="1"/>
  <c r="Q176" i="1" s="1"/>
  <c r="Q285" i="1"/>
  <c r="Q286" i="1" s="1"/>
  <c r="Q215" i="1"/>
  <c r="Q216" i="1" s="1"/>
  <c r="Q275" i="1"/>
  <c r="Q276" i="1" s="1"/>
  <c r="Q525" i="1"/>
  <c r="Q526" i="1" s="1"/>
  <c r="AE85" i="1"/>
  <c r="AE86" i="1" s="1"/>
  <c r="Q25" i="1"/>
  <c r="Q26" i="1" s="1"/>
  <c r="Q105" i="1"/>
  <c r="Q106" i="1" s="1"/>
  <c r="Q235" i="1"/>
  <c r="Q236" i="1" s="1"/>
  <c r="Q185" i="1"/>
  <c r="Q186" i="1" s="1"/>
  <c r="Q385" i="1"/>
  <c r="Q386" i="1" s="1"/>
  <c r="Q355" i="1"/>
  <c r="Q356" i="1" s="1"/>
  <c r="Q485" i="1"/>
  <c r="Q486" i="1" s="1"/>
  <c r="Q205" i="1"/>
  <c r="Q206" i="1" s="1"/>
  <c r="Q305" i="1"/>
  <c r="Q306" i="1" s="1"/>
  <c r="Q425" i="1"/>
  <c r="Q426" i="1" s="1"/>
  <c r="Q415" i="1"/>
  <c r="Q416" i="1" s="1"/>
  <c r="Q435" i="1"/>
  <c r="Q436" i="1" s="1"/>
  <c r="Q455" i="1"/>
  <c r="Q456" i="1" s="1"/>
  <c r="Q505" i="1"/>
  <c r="Q506" i="1" s="1"/>
  <c r="Q475" i="1"/>
  <c r="Q476" i="1" s="1"/>
  <c r="Q35" i="1"/>
  <c r="Q36" i="1" s="1"/>
  <c r="Q145" i="1"/>
  <c r="Q146" i="1" s="1"/>
  <c r="Q95" i="1"/>
  <c r="Q96" i="1" s="1"/>
  <c r="Q125" i="1"/>
  <c r="Q126" i="1" s="1"/>
  <c r="Q195" i="1"/>
  <c r="Q196" i="1" s="1"/>
  <c r="Q225" i="1"/>
  <c r="Q226" i="1" s="1"/>
  <c r="Q245" i="1"/>
  <c r="Q246" i="1" s="1"/>
  <c r="Q255" i="1"/>
  <c r="Q256" i="1" s="1"/>
  <c r="Q315" i="1"/>
  <c r="Q316" i="1" s="1"/>
  <c r="Q345" i="1"/>
  <c r="Q346" i="1" s="1"/>
  <c r="Q365" i="1"/>
  <c r="Q366" i="1" s="1"/>
  <c r="Q395" i="1"/>
  <c r="Q396" i="1" s="1"/>
  <c r="Q375" i="1"/>
  <c r="Q376" i="1" s="1"/>
  <c r="Q465" i="1"/>
  <c r="Q466" i="1" s="1"/>
  <c r="M439" i="1" l="1"/>
  <c r="M517" i="1"/>
  <c r="K256" i="1"/>
  <c r="M328" i="1"/>
  <c r="N328" i="1"/>
  <c r="M85" i="1"/>
  <c r="N85" i="1"/>
  <c r="Q135" i="1"/>
  <c r="Q136" i="1" s="1"/>
  <c r="Q137" i="1" s="1"/>
  <c r="N135" i="1"/>
  <c r="M177" i="1"/>
  <c r="N177" i="1"/>
  <c r="M189" i="1"/>
  <c r="N189" i="1"/>
  <c r="M78" i="1"/>
  <c r="N78" i="1"/>
  <c r="M239" i="1"/>
  <c r="N239" i="1"/>
  <c r="E477" i="1"/>
  <c r="E478" i="1" s="1"/>
  <c r="M135" i="1"/>
  <c r="G236" i="1"/>
  <c r="K236" i="1"/>
  <c r="M188" i="1"/>
  <c r="G66" i="1"/>
  <c r="Q75" i="1"/>
  <c r="Q76" i="1" s="1"/>
  <c r="E137" i="1"/>
  <c r="K136" i="1"/>
  <c r="E247" i="1"/>
  <c r="G247" i="1" s="1"/>
  <c r="G136" i="1"/>
  <c r="M75" i="1"/>
  <c r="E387" i="1"/>
  <c r="Q85" i="1"/>
  <c r="Q86" i="1" s="1"/>
  <c r="E117" i="1"/>
  <c r="K117" i="1" s="1"/>
  <c r="K116" i="1"/>
  <c r="G116" i="1"/>
  <c r="G16" i="1"/>
  <c r="K46" i="1"/>
  <c r="E47" i="1"/>
  <c r="M87" i="1"/>
  <c r="G46" i="1"/>
  <c r="K16" i="1"/>
  <c r="E227" i="1"/>
  <c r="K227" i="1" s="1"/>
  <c r="K56" i="1"/>
  <c r="E217" i="1"/>
  <c r="G217" i="1" s="1"/>
  <c r="G56" i="1"/>
  <c r="E337" i="1"/>
  <c r="E367" i="1"/>
  <c r="E197" i="1"/>
  <c r="K197" i="1" s="1"/>
  <c r="K66" i="1"/>
  <c r="E257" i="1"/>
  <c r="K257" i="1" s="1"/>
  <c r="M86" i="1"/>
  <c r="K167" i="1"/>
  <c r="G166" i="1"/>
  <c r="E207" i="1"/>
  <c r="E107" i="1"/>
  <c r="G107" i="1" s="1"/>
  <c r="E517" i="1"/>
  <c r="E437" i="1"/>
  <c r="E397" i="1"/>
  <c r="E398" i="1" s="1"/>
  <c r="K126" i="1"/>
  <c r="E237" i="1"/>
  <c r="K426" i="1"/>
  <c r="E317" i="1"/>
  <c r="E357" i="1"/>
  <c r="E507" i="1"/>
  <c r="E277" i="1"/>
  <c r="E327" i="1"/>
  <c r="E307" i="1"/>
  <c r="E157" i="1"/>
  <c r="E267" i="1"/>
  <c r="AK5" i="1" a="1"/>
  <c r="AK5" i="1" s="1"/>
  <c r="AL5" i="1" s="1"/>
  <c r="K166" i="1"/>
  <c r="G406" i="1"/>
  <c r="E467" i="1"/>
  <c r="E297" i="1"/>
  <c r="G446" i="1"/>
  <c r="Q207" i="1"/>
  <c r="Q208" i="1" s="1"/>
  <c r="Q67" i="1"/>
  <c r="Q68" i="1" s="1"/>
  <c r="Q487" i="1"/>
  <c r="Q488" i="1" s="1"/>
  <c r="Q357" i="1"/>
  <c r="Q358" i="1" s="1"/>
  <c r="Q187" i="1"/>
  <c r="Q407" i="1"/>
  <c r="Q408" i="1" s="1"/>
  <c r="Q437" i="1"/>
  <c r="Q438" i="1" s="1"/>
  <c r="Q517" i="1"/>
  <c r="Q518" i="1" s="1"/>
  <c r="Q167" i="1"/>
  <c r="Q497" i="1"/>
  <c r="E527" i="1"/>
  <c r="Q527" i="1"/>
  <c r="Q528" i="1" s="1"/>
  <c r="K26" i="1"/>
  <c r="M76" i="1"/>
  <c r="M88" i="1"/>
  <c r="M77" i="1"/>
  <c r="K86" i="1"/>
  <c r="E77" i="1"/>
  <c r="G96" i="1"/>
  <c r="E57" i="1"/>
  <c r="E67" i="1"/>
  <c r="G26" i="1"/>
  <c r="E17" i="1"/>
  <c r="E27" i="1"/>
  <c r="K96" i="1"/>
  <c r="E37" i="1"/>
  <c r="K36" i="1"/>
  <c r="G36" i="1"/>
  <c r="E287" i="1"/>
  <c r="K286" i="1"/>
  <c r="G286" i="1"/>
  <c r="K267" i="1"/>
  <c r="G267" i="1"/>
  <c r="K356" i="1"/>
  <c r="G206" i="1"/>
  <c r="G466" i="1"/>
  <c r="K406" i="1"/>
  <c r="E168" i="1"/>
  <c r="G467" i="1"/>
  <c r="E147" i="1"/>
  <c r="G146" i="1"/>
  <c r="E87" i="1"/>
  <c r="K466" i="1"/>
  <c r="G357" i="1"/>
  <c r="E177" i="1"/>
  <c r="G106" i="1"/>
  <c r="G227" i="1"/>
  <c r="K106" i="1"/>
  <c r="G126" i="1"/>
  <c r="G167" i="1"/>
  <c r="K146" i="1"/>
  <c r="Q507" i="1"/>
  <c r="G257" i="1"/>
  <c r="G207" i="1"/>
  <c r="G176" i="1"/>
  <c r="Q387" i="1"/>
  <c r="K206" i="1"/>
  <c r="E127" i="1"/>
  <c r="Q287" i="1"/>
  <c r="K266" i="1"/>
  <c r="Q107" i="1"/>
  <c r="Q27" i="1"/>
  <c r="E407" i="1"/>
  <c r="K176" i="1"/>
  <c r="E427" i="1"/>
  <c r="G426" i="1"/>
  <c r="E97" i="1"/>
  <c r="G86" i="1"/>
  <c r="AK85" i="1" s="1" a="1"/>
  <c r="AK85" i="1" s="1"/>
  <c r="AL85" i="1" s="1"/>
  <c r="Q157" i="1"/>
  <c r="Q297" i="1"/>
  <c r="Q447" i="1"/>
  <c r="Q337" i="1"/>
  <c r="Q237" i="1"/>
  <c r="Q117" i="1"/>
  <c r="Q217" i="1"/>
  <c r="Q47" i="1"/>
  <c r="G266" i="1"/>
  <c r="G356" i="1"/>
  <c r="K217" i="1"/>
  <c r="G346" i="1"/>
  <c r="AK345" i="1" s="1" a="1"/>
  <c r="AK345" i="1" s="1"/>
  <c r="AL345" i="1" s="1"/>
  <c r="K346" i="1"/>
  <c r="E347" i="1"/>
  <c r="K487" i="1"/>
  <c r="E488" i="1"/>
  <c r="G487" i="1"/>
  <c r="E377" i="1"/>
  <c r="K376" i="1"/>
  <c r="G376" i="1"/>
  <c r="G157" i="1"/>
  <c r="AK156" i="1" s="1" a="1"/>
  <c r="AK156" i="1" s="1"/>
  <c r="AL156" i="1" s="1"/>
  <c r="K157" i="1"/>
  <c r="E187" i="1"/>
  <c r="K186" i="1"/>
  <c r="G186" i="1"/>
  <c r="E417" i="1"/>
  <c r="K416" i="1"/>
  <c r="G416" i="1"/>
  <c r="K337" i="1"/>
  <c r="G337" i="1"/>
  <c r="AK336" i="1" s="1" a="1"/>
  <c r="AK336" i="1" s="1"/>
  <c r="AL336" i="1" s="1"/>
  <c r="K387" i="1"/>
  <c r="G387" i="1"/>
  <c r="G397" i="1"/>
  <c r="K397" i="1"/>
  <c r="G477" i="1"/>
  <c r="K477" i="1"/>
  <c r="E457" i="1"/>
  <c r="K456" i="1"/>
  <c r="G456" i="1"/>
  <c r="K438" i="1"/>
  <c r="G438" i="1"/>
  <c r="G197" i="1"/>
  <c r="K247" i="1"/>
  <c r="Q57" i="1"/>
  <c r="R9" i="4"/>
  <c r="E497" i="1"/>
  <c r="K496" i="1"/>
  <c r="G496" i="1"/>
  <c r="K367" i="1"/>
  <c r="G367" i="1"/>
  <c r="K7" i="1"/>
  <c r="E8" i="1"/>
  <c r="G7" i="1"/>
  <c r="K447" i="1"/>
  <c r="E448" i="1"/>
  <c r="G447" i="1"/>
  <c r="Q277" i="1"/>
  <c r="Q327" i="1"/>
  <c r="Q267" i="1"/>
  <c r="Q7" i="1"/>
  <c r="Q307" i="1"/>
  <c r="Q17" i="1"/>
  <c r="Q177" i="1"/>
  <c r="Q477" i="1"/>
  <c r="Q457" i="1"/>
  <c r="Q367" i="1"/>
  <c r="Q317" i="1"/>
  <c r="Q227" i="1"/>
  <c r="Q397" i="1"/>
  <c r="Q147" i="1"/>
  <c r="Q257" i="1"/>
  <c r="Q427" i="1"/>
  <c r="Q417" i="1"/>
  <c r="Q347" i="1"/>
  <c r="Q247" i="1"/>
  <c r="Q467" i="1"/>
  <c r="Q377" i="1"/>
  <c r="Q197" i="1"/>
  <c r="Q127" i="1"/>
  <c r="Q97" i="1"/>
  <c r="Q37" i="1"/>
  <c r="E5" i="4" l="1"/>
  <c r="G277" i="1"/>
  <c r="K277" i="1"/>
  <c r="R7" i="4"/>
  <c r="K237" i="1"/>
  <c r="G237" i="1"/>
  <c r="G137" i="1"/>
  <c r="E138" i="1"/>
  <c r="G117" i="1"/>
  <c r="E388" i="1"/>
  <c r="K137" i="1"/>
  <c r="E118" i="1"/>
  <c r="E248" i="1"/>
  <c r="E48" i="1"/>
  <c r="G48" i="1" s="1"/>
  <c r="G47" i="1"/>
  <c r="K47" i="1"/>
  <c r="Q87" i="1"/>
  <c r="Q88" i="1" s="1"/>
  <c r="Q89" i="1" s="1"/>
  <c r="E228" i="1"/>
  <c r="K228" i="1" s="1"/>
  <c r="E368" i="1"/>
  <c r="E198" i="1"/>
  <c r="E218" i="1"/>
  <c r="E158" i="1"/>
  <c r="E338" i="1"/>
  <c r="E258" i="1"/>
  <c r="G258" i="1" s="1"/>
  <c r="E358" i="1"/>
  <c r="E328" i="1"/>
  <c r="E108" i="1"/>
  <c r="E438" i="1"/>
  <c r="K467" i="1"/>
  <c r="E298" i="1"/>
  <c r="K207" i="1"/>
  <c r="E278" i="1"/>
  <c r="E518" i="1"/>
  <c r="K107" i="1"/>
  <c r="E268" i="1"/>
  <c r="K268" i="1" s="1"/>
  <c r="E318" i="1"/>
  <c r="E468" i="1"/>
  <c r="E508" i="1"/>
  <c r="E208" i="1"/>
  <c r="E238" i="1"/>
  <c r="E308" i="1"/>
  <c r="K357" i="1"/>
  <c r="K258" i="1"/>
  <c r="Q118" i="1"/>
  <c r="Q119" i="1" s="1"/>
  <c r="Q58" i="1"/>
  <c r="Q308" i="1"/>
  <c r="Q278" i="1"/>
  <c r="Q48" i="1"/>
  <c r="Q49" i="1" s="1"/>
  <c r="Q77" i="1"/>
  <c r="Q78" i="1" s="1"/>
  <c r="Q218" i="1"/>
  <c r="Q219" i="1" s="1"/>
  <c r="E408" i="1"/>
  <c r="G27" i="1"/>
  <c r="Q498" i="1"/>
  <c r="K468" i="1"/>
  <c r="Q168" i="1"/>
  <c r="Q448" i="1"/>
  <c r="Q449" i="1" s="1"/>
  <c r="Q298" i="1"/>
  <c r="Q299" i="1" s="1"/>
  <c r="Q288" i="1"/>
  <c r="Q289" i="1" s="1"/>
  <c r="Q188" i="1"/>
  <c r="Q189" i="1" s="1"/>
  <c r="Q18" i="1"/>
  <c r="Q19" i="1" s="1"/>
  <c r="K168" i="1"/>
  <c r="E528" i="1"/>
  <c r="AK6" i="1" a="1"/>
  <c r="AK6" i="1" s="1"/>
  <c r="AL6" i="1" s="1"/>
  <c r="G67" i="1"/>
  <c r="E68" i="1"/>
  <c r="K67" i="1"/>
  <c r="E78" i="1"/>
  <c r="E38" i="1"/>
  <c r="E58" i="1"/>
  <c r="K57" i="1"/>
  <c r="G57" i="1"/>
  <c r="E98" i="1"/>
  <c r="K98" i="1" s="1"/>
  <c r="E28" i="1"/>
  <c r="G17" i="1"/>
  <c r="K17" i="1"/>
  <c r="E18" i="1"/>
  <c r="K27" i="1"/>
  <c r="K37" i="1"/>
  <c r="G37" i="1"/>
  <c r="G208" i="1"/>
  <c r="K208" i="1"/>
  <c r="E288" i="1"/>
  <c r="K287" i="1"/>
  <c r="G287" i="1"/>
  <c r="AK286" i="1" s="1" a="1"/>
  <c r="AK286" i="1" s="1"/>
  <c r="AL286" i="1" s="1"/>
  <c r="G147" i="1"/>
  <c r="E88" i="1"/>
  <c r="G358" i="1"/>
  <c r="G168" i="1"/>
  <c r="K358" i="1"/>
  <c r="E169" i="1"/>
  <c r="Q508" i="1"/>
  <c r="G87" i="1"/>
  <c r="AK86" i="1" s="1" a="1"/>
  <c r="AK86" i="1" s="1"/>
  <c r="AL86" i="1" s="1"/>
  <c r="K87" i="1"/>
  <c r="G468" i="1"/>
  <c r="Q108" i="1"/>
  <c r="K147" i="1"/>
  <c r="E148" i="1"/>
  <c r="G177" i="1"/>
  <c r="AK176" i="1" s="1" a="1"/>
  <c r="AK176" i="1" s="1"/>
  <c r="AL176" i="1" s="1"/>
  <c r="K177" i="1"/>
  <c r="E178" i="1"/>
  <c r="G127" i="1"/>
  <c r="K407" i="1"/>
  <c r="Q388" i="1"/>
  <c r="K97" i="1"/>
  <c r="Q28" i="1"/>
  <c r="G97" i="1"/>
  <c r="G407" i="1"/>
  <c r="Q158" i="1"/>
  <c r="K127" i="1"/>
  <c r="E128" i="1"/>
  <c r="K427" i="1"/>
  <c r="E428" i="1"/>
  <c r="G427" i="1"/>
  <c r="Q8" i="1"/>
  <c r="Q238" i="1"/>
  <c r="Q328" i="1"/>
  <c r="Q338" i="1"/>
  <c r="K347" i="1"/>
  <c r="G347" i="1"/>
  <c r="E348" i="1"/>
  <c r="K218" i="1"/>
  <c r="G218" i="1"/>
  <c r="K448" i="1"/>
  <c r="E449" i="1"/>
  <c r="G448" i="1"/>
  <c r="K488" i="1"/>
  <c r="E489" i="1"/>
  <c r="G488" i="1"/>
  <c r="K457" i="1"/>
  <c r="E458" i="1"/>
  <c r="G457" i="1"/>
  <c r="K398" i="1"/>
  <c r="E399" i="1"/>
  <c r="G398" i="1"/>
  <c r="K368" i="1"/>
  <c r="G368" i="1"/>
  <c r="K408" i="1"/>
  <c r="G408" i="1"/>
  <c r="K248" i="1"/>
  <c r="G248" i="1"/>
  <c r="K497" i="1"/>
  <c r="E498" i="1"/>
  <c r="G497" i="1"/>
  <c r="K417" i="1"/>
  <c r="E418" i="1"/>
  <c r="G417" i="1"/>
  <c r="K158" i="1"/>
  <c r="G158" i="1"/>
  <c r="AK157" i="1" s="1" a="1"/>
  <c r="AK157" i="1" s="1"/>
  <c r="AL157" i="1" s="1"/>
  <c r="K338" i="1"/>
  <c r="G338" i="1"/>
  <c r="AK337" i="1" s="1" a="1"/>
  <c r="AK337" i="1" s="1"/>
  <c r="AL337" i="1" s="1"/>
  <c r="G8" i="1"/>
  <c r="E9" i="1"/>
  <c r="K8" i="1"/>
  <c r="K198" i="1"/>
  <c r="G198" i="1"/>
  <c r="K388" i="1"/>
  <c r="G388" i="1"/>
  <c r="K377" i="1"/>
  <c r="E378" i="1"/>
  <c r="G377" i="1"/>
  <c r="K439" i="1"/>
  <c r="G439" i="1"/>
  <c r="AK438" i="1" s="1" a="1"/>
  <c r="AK438" i="1" s="1"/>
  <c r="AL438" i="1" s="1"/>
  <c r="K478" i="1"/>
  <c r="E479" i="1"/>
  <c r="G478" i="1"/>
  <c r="K187" i="1"/>
  <c r="E188" i="1"/>
  <c r="G187" i="1"/>
  <c r="AK186" i="1" s="1" a="1"/>
  <c r="AK186" i="1" s="1"/>
  <c r="AL186" i="1" s="1"/>
  <c r="Q268" i="1"/>
  <c r="Q178" i="1"/>
  <c r="Q458" i="1"/>
  <c r="Q478" i="1"/>
  <c r="Q138" i="1"/>
  <c r="Q418" i="1"/>
  <c r="Q69" i="1"/>
  <c r="Q359" i="1"/>
  <c r="Q209" i="1"/>
  <c r="Q258" i="1"/>
  <c r="Q368" i="1"/>
  <c r="Q439" i="1"/>
  <c r="Q409" i="1"/>
  <c r="Q348" i="1"/>
  <c r="Q519" i="1"/>
  <c r="Q38" i="1"/>
  <c r="Q148" i="1"/>
  <c r="Q318" i="1"/>
  <c r="Q98" i="1"/>
  <c r="Q489" i="1"/>
  <c r="Q198" i="1"/>
  <c r="Q468" i="1"/>
  <c r="Q378" i="1"/>
  <c r="Q128" i="1"/>
  <c r="Q529" i="1"/>
  <c r="Q248" i="1"/>
  <c r="Q398" i="1"/>
  <c r="Q428" i="1"/>
  <c r="Q228" i="1"/>
  <c r="G278" i="1" l="1"/>
  <c r="K278" i="1"/>
  <c r="G228" i="1"/>
  <c r="G268" i="1"/>
  <c r="G238" i="1"/>
  <c r="E139" i="1"/>
  <c r="K238" i="1"/>
  <c r="G138" i="1"/>
  <c r="K138" i="1"/>
  <c r="E389" i="1"/>
  <c r="E390" i="1" s="1"/>
  <c r="E49" i="1"/>
  <c r="K49" i="1" s="1"/>
  <c r="K48" i="1"/>
  <c r="E119" i="1"/>
  <c r="E369" i="1"/>
  <c r="G118" i="1"/>
  <c r="E249" i="1"/>
  <c r="G249" i="1" s="1"/>
  <c r="K118" i="1"/>
  <c r="E219" i="1"/>
  <c r="G219" i="1" s="1"/>
  <c r="E199" i="1"/>
  <c r="K199" i="1" s="1"/>
  <c r="E229" i="1"/>
  <c r="K229" i="1" s="1"/>
  <c r="E359" i="1"/>
  <c r="K108" i="1"/>
  <c r="G108" i="1"/>
  <c r="E159" i="1"/>
  <c r="E209" i="1"/>
  <c r="E259" i="1"/>
  <c r="E239" i="1"/>
  <c r="K239" i="1" s="1"/>
  <c r="E109" i="1"/>
  <c r="E339" i="1"/>
  <c r="E409" i="1"/>
  <c r="E469" i="1"/>
  <c r="E299" i="1"/>
  <c r="E309" i="1"/>
  <c r="E509" i="1"/>
  <c r="E519" i="1"/>
  <c r="E269" i="1"/>
  <c r="E319" i="1"/>
  <c r="E279" i="1"/>
  <c r="E439" i="1"/>
  <c r="E329" i="1"/>
  <c r="E99" i="1"/>
  <c r="G99" i="1" s="1"/>
  <c r="Q9" i="1"/>
  <c r="Q10" i="1" s="1"/>
  <c r="E529" i="1"/>
  <c r="G469" i="1"/>
  <c r="Q59" i="1"/>
  <c r="Q499" i="1"/>
  <c r="Q279" i="1"/>
  <c r="Q169" i="1"/>
  <c r="E140" i="1"/>
  <c r="K148" i="1"/>
  <c r="Q309" i="1"/>
  <c r="Q310" i="1" s="1"/>
  <c r="Q109" i="1"/>
  <c r="Q110" i="1" s="1"/>
  <c r="Q29" i="1"/>
  <c r="AK7" i="1" a="1"/>
  <c r="AK7" i="1" s="1"/>
  <c r="AL7" i="1" s="1"/>
  <c r="G28" i="1"/>
  <c r="E29" i="1"/>
  <c r="G98" i="1"/>
  <c r="K28" i="1"/>
  <c r="G38" i="1"/>
  <c r="K38" i="1"/>
  <c r="E59" i="1"/>
  <c r="G58" i="1"/>
  <c r="K58" i="1"/>
  <c r="E69" i="1"/>
  <c r="G68" i="1"/>
  <c r="K68" i="1"/>
  <c r="E39" i="1"/>
  <c r="E79" i="1"/>
  <c r="E19" i="1"/>
  <c r="K18" i="1"/>
  <c r="G18" i="1"/>
  <c r="Q20" i="1"/>
  <c r="K209" i="1"/>
  <c r="G209" i="1"/>
  <c r="K449" i="1"/>
  <c r="G449" i="1"/>
  <c r="E289" i="1"/>
  <c r="K288" i="1"/>
  <c r="G288" i="1"/>
  <c r="K440" i="1"/>
  <c r="G440" i="1"/>
  <c r="AK439" i="1" s="1" a="1"/>
  <c r="AK439" i="1" s="1"/>
  <c r="AL439" i="1" s="1"/>
  <c r="K269" i="1"/>
  <c r="G269" i="1"/>
  <c r="K359" i="1"/>
  <c r="G88" i="1"/>
  <c r="AK87" i="1" s="1" a="1"/>
  <c r="AK87" i="1" s="1"/>
  <c r="AL87" i="1" s="1"/>
  <c r="E89" i="1"/>
  <c r="K88" i="1"/>
  <c r="G359" i="1"/>
  <c r="K259" i="1"/>
  <c r="G259" i="1"/>
  <c r="G169" i="1"/>
  <c r="E149" i="1"/>
  <c r="E170" i="1"/>
  <c r="G178" i="1"/>
  <c r="K169" i="1"/>
  <c r="E179" i="1"/>
  <c r="K178" i="1"/>
  <c r="Q509" i="1"/>
  <c r="K139" i="1"/>
  <c r="K469" i="1"/>
  <c r="G148" i="1"/>
  <c r="AK147" i="1" s="1" a="1"/>
  <c r="AK147" i="1" s="1"/>
  <c r="AL147" i="1" s="1"/>
  <c r="Q329" i="1"/>
  <c r="Q389" i="1"/>
  <c r="Q339" i="1"/>
  <c r="Q159" i="1"/>
  <c r="G139" i="1"/>
  <c r="K128" i="1"/>
  <c r="G128" i="1"/>
  <c r="E129" i="1"/>
  <c r="K428" i="1"/>
  <c r="E429" i="1"/>
  <c r="G428" i="1"/>
  <c r="Q239" i="1"/>
  <c r="K348" i="1"/>
  <c r="E349" i="1"/>
  <c r="G348" i="1"/>
  <c r="G159" i="1"/>
  <c r="AK158" i="1" s="1" a="1"/>
  <c r="AK158" i="1" s="1"/>
  <c r="AL158" i="1" s="1"/>
  <c r="K159" i="1"/>
  <c r="K249" i="1"/>
  <c r="G389" i="1"/>
  <c r="K389" i="1"/>
  <c r="AK389" i="1" s="1" a="1"/>
  <c r="AK389" i="1" s="1"/>
  <c r="AL389" i="1" s="1"/>
  <c r="K409" i="1"/>
  <c r="G409" i="1"/>
  <c r="K458" i="1"/>
  <c r="E459" i="1"/>
  <c r="G458" i="1"/>
  <c r="K479" i="1"/>
  <c r="E480" i="1"/>
  <c r="G479" i="1"/>
  <c r="K9" i="1"/>
  <c r="E10" i="1"/>
  <c r="G9" i="1"/>
  <c r="K339" i="1"/>
  <c r="G339" i="1"/>
  <c r="AK338" i="1" s="1" a="1"/>
  <c r="AK338" i="1" s="1"/>
  <c r="AL338" i="1" s="1"/>
  <c r="K498" i="1"/>
  <c r="E499" i="1"/>
  <c r="G498" i="1"/>
  <c r="K399" i="1"/>
  <c r="E400" i="1"/>
  <c r="G399" i="1"/>
  <c r="E450" i="1"/>
  <c r="K378" i="1"/>
  <c r="E379" i="1"/>
  <c r="G378" i="1"/>
  <c r="K418" i="1"/>
  <c r="E419" i="1"/>
  <c r="G418" i="1"/>
  <c r="K188" i="1"/>
  <c r="E189" i="1"/>
  <c r="G188" i="1"/>
  <c r="AK187" i="1" s="1" a="1"/>
  <c r="AK187" i="1" s="1"/>
  <c r="AL187" i="1" s="1"/>
  <c r="K369" i="1"/>
  <c r="G369" i="1"/>
  <c r="K489" i="1"/>
  <c r="E490" i="1"/>
  <c r="G489" i="1"/>
  <c r="Q269" i="1"/>
  <c r="Q179" i="1"/>
  <c r="Q479" i="1"/>
  <c r="Q139" i="1"/>
  <c r="Q459" i="1"/>
  <c r="Q79" i="1"/>
  <c r="Q50" i="1"/>
  <c r="Q99" i="1"/>
  <c r="Q450" i="1"/>
  <c r="Q520" i="1"/>
  <c r="Q249" i="1"/>
  <c r="Q220" i="1"/>
  <c r="Q90" i="1"/>
  <c r="Q419" i="1"/>
  <c r="Q469" i="1"/>
  <c r="Q39" i="1"/>
  <c r="Q210" i="1"/>
  <c r="Q360" i="1"/>
  <c r="Q379" i="1"/>
  <c r="Q429" i="1"/>
  <c r="Q199" i="1"/>
  <c r="Q319" i="1"/>
  <c r="Q120" i="1"/>
  <c r="Q369" i="1"/>
  <c r="Q300" i="1"/>
  <c r="Q349" i="1"/>
  <c r="Q440" i="1"/>
  <c r="Q290" i="1"/>
  <c r="Q190" i="1"/>
  <c r="Q530" i="1"/>
  <c r="Q229" i="1"/>
  <c r="Q129" i="1"/>
  <c r="Q149" i="1"/>
  <c r="Q70" i="1"/>
  <c r="Q399" i="1"/>
  <c r="Q490" i="1"/>
  <c r="Q410" i="1"/>
  <c r="Q259" i="1"/>
  <c r="G229" i="1" l="1"/>
  <c r="G279" i="1"/>
  <c r="K279" i="1"/>
  <c r="G199" i="1"/>
  <c r="K219" i="1"/>
  <c r="G239" i="1"/>
  <c r="E120" i="1"/>
  <c r="E50" i="1"/>
  <c r="E51" i="1" s="1"/>
  <c r="E370" i="1"/>
  <c r="G49" i="1"/>
  <c r="K119" i="1"/>
  <c r="E220" i="1"/>
  <c r="K220" i="1" s="1"/>
  <c r="G119" i="1"/>
  <c r="E250" i="1"/>
  <c r="E240" i="1"/>
  <c r="E100" i="1"/>
  <c r="E110" i="1"/>
  <c r="G109" i="1"/>
  <c r="E200" i="1"/>
  <c r="E260" i="1"/>
  <c r="K109" i="1"/>
  <c r="E230" i="1"/>
  <c r="E340" i="1"/>
  <c r="E210" i="1"/>
  <c r="E360" i="1"/>
  <c r="E160" i="1"/>
  <c r="E470" i="1"/>
  <c r="E410" i="1"/>
  <c r="Q30" i="1"/>
  <c r="Q31" i="1" s="1"/>
  <c r="E330" i="1"/>
  <c r="E280" i="1"/>
  <c r="E310" i="1"/>
  <c r="E440" i="1"/>
  <c r="E520" i="1"/>
  <c r="E510" i="1"/>
  <c r="E270" i="1"/>
  <c r="E320" i="1"/>
  <c r="E300" i="1"/>
  <c r="Q11" i="1"/>
  <c r="AE8" i="1" s="1"/>
  <c r="Q280" i="1"/>
  <c r="Q500" i="1"/>
  <c r="Q170" i="1"/>
  <c r="Q21" i="1"/>
  <c r="E150" i="1"/>
  <c r="E141" i="1"/>
  <c r="G179" i="1"/>
  <c r="Q60" i="1"/>
  <c r="E530" i="1"/>
  <c r="G29" i="1"/>
  <c r="K99" i="1"/>
  <c r="E30" i="1"/>
  <c r="AK8" i="1" a="1"/>
  <c r="AK8" i="1" s="1"/>
  <c r="AL8" i="1" s="1"/>
  <c r="Q510" i="1"/>
  <c r="K29" i="1"/>
  <c r="Q160" i="1"/>
  <c r="Q161" i="1" s="1"/>
  <c r="Q390" i="1"/>
  <c r="Q240" i="1"/>
  <c r="K39" i="1"/>
  <c r="G39" i="1"/>
  <c r="E40" i="1"/>
  <c r="E80" i="1"/>
  <c r="E60" i="1"/>
  <c r="G59" i="1"/>
  <c r="K59" i="1"/>
  <c r="K69" i="1"/>
  <c r="G69" i="1"/>
  <c r="E70" i="1"/>
  <c r="G19" i="1"/>
  <c r="K19" i="1"/>
  <c r="E20" i="1"/>
  <c r="K21" i="1"/>
  <c r="G21" i="1"/>
  <c r="AK20" i="1" s="1" a="1"/>
  <c r="AK20" i="1" s="1"/>
  <c r="AL20" i="1" s="1"/>
  <c r="K470" i="1"/>
  <c r="G470" i="1"/>
  <c r="AK469" i="1" s="1" a="1"/>
  <c r="AK469" i="1" s="1"/>
  <c r="AL469" i="1" s="1"/>
  <c r="E290" i="1"/>
  <c r="G289" i="1"/>
  <c r="K289" i="1"/>
  <c r="K10" i="1"/>
  <c r="G10" i="1"/>
  <c r="E90" i="1"/>
  <c r="G89" i="1"/>
  <c r="AK88" i="1" s="1" a="1"/>
  <c r="AK88" i="1" s="1"/>
  <c r="AL88" i="1" s="1"/>
  <c r="K89" i="1"/>
  <c r="K459" i="1"/>
  <c r="G459" i="1"/>
  <c r="K441" i="1"/>
  <c r="G441" i="1"/>
  <c r="AK440" i="1" s="1" a="1"/>
  <c r="AK440" i="1" s="1"/>
  <c r="AL440" i="1" s="1"/>
  <c r="G220" i="1"/>
  <c r="K230" i="1"/>
  <c r="G230" i="1"/>
  <c r="AK229" i="1" s="1" a="1"/>
  <c r="AK229" i="1" s="1"/>
  <c r="AL229" i="1" s="1"/>
  <c r="G250" i="1"/>
  <c r="AK249" i="1" s="1" a="1"/>
  <c r="AK249" i="1" s="1"/>
  <c r="AL249" i="1" s="1"/>
  <c r="K250" i="1"/>
  <c r="K170" i="1"/>
  <c r="G170" i="1"/>
  <c r="AK169" i="1" s="1" a="1"/>
  <c r="AK169" i="1" s="1"/>
  <c r="AL169" i="1" s="1"/>
  <c r="E171" i="1"/>
  <c r="E180" i="1"/>
  <c r="K149" i="1"/>
  <c r="G149" i="1"/>
  <c r="K179" i="1"/>
  <c r="Q340" i="1"/>
  <c r="Q330" i="1"/>
  <c r="D11" i="4"/>
  <c r="K141" i="1"/>
  <c r="G141" i="1"/>
  <c r="AK140" i="1" s="1" a="1"/>
  <c r="AK140" i="1" s="1"/>
  <c r="AL140" i="1" s="1"/>
  <c r="K129" i="1"/>
  <c r="G129" i="1"/>
  <c r="E130" i="1"/>
  <c r="E430" i="1"/>
  <c r="G429" i="1"/>
  <c r="K429" i="1"/>
  <c r="K100" i="1"/>
  <c r="G100" i="1"/>
  <c r="AK99" i="1" s="1" a="1"/>
  <c r="AK99" i="1" s="1"/>
  <c r="AL99" i="1" s="1"/>
  <c r="K349" i="1"/>
  <c r="E350" i="1"/>
  <c r="G349" i="1"/>
  <c r="K499" i="1"/>
  <c r="E500" i="1"/>
  <c r="G499" i="1"/>
  <c r="E391" i="1"/>
  <c r="E491" i="1"/>
  <c r="E481" i="1"/>
  <c r="E451" i="1"/>
  <c r="E460" i="1"/>
  <c r="E401" i="1"/>
  <c r="E11" i="1"/>
  <c r="E190" i="1"/>
  <c r="G189" i="1"/>
  <c r="AK188" i="1" s="1" a="1"/>
  <c r="AK188" i="1" s="1"/>
  <c r="AL188" i="1" s="1"/>
  <c r="K189" i="1"/>
  <c r="K419" i="1"/>
  <c r="E420" i="1"/>
  <c r="G419" i="1"/>
  <c r="K379" i="1"/>
  <c r="AK379" i="1" s="1" a="1"/>
  <c r="AK379" i="1" s="1"/>
  <c r="AL379" i="1" s="1"/>
  <c r="E380" i="1"/>
  <c r="G379" i="1"/>
  <c r="Q270" i="1"/>
  <c r="Q180" i="1"/>
  <c r="Q80" i="1"/>
  <c r="Q460" i="1"/>
  <c r="Q140" i="1"/>
  <c r="Q480" i="1"/>
  <c r="Q111" i="1"/>
  <c r="Q451" i="1"/>
  <c r="Q361" i="1"/>
  <c r="Q40" i="1"/>
  <c r="Q250" i="1"/>
  <c r="Q531" i="1"/>
  <c r="Q301" i="1"/>
  <c r="Q200" i="1"/>
  <c r="Q100" i="1"/>
  <c r="Q130" i="1"/>
  <c r="Q291" i="1"/>
  <c r="Q121" i="1"/>
  <c r="Q311" i="1"/>
  <c r="Q91" i="1"/>
  <c r="Q411" i="1"/>
  <c r="Q350" i="1"/>
  <c r="Q230" i="1"/>
  <c r="Q420" i="1"/>
  <c r="Q491" i="1"/>
  <c r="Q221" i="1"/>
  <c r="Q260" i="1"/>
  <c r="Q441" i="1"/>
  <c r="Q211" i="1"/>
  <c r="Q470" i="1"/>
  <c r="Q380" i="1"/>
  <c r="Q320" i="1"/>
  <c r="Q71" i="1"/>
  <c r="Q400" i="1"/>
  <c r="Q150" i="1"/>
  <c r="Q191" i="1"/>
  <c r="Q370" i="1"/>
  <c r="Q430" i="1"/>
  <c r="Q521" i="1"/>
  <c r="Q51" i="1"/>
  <c r="AK359" i="1" l="1" a="1"/>
  <c r="AK359" i="1" s="1"/>
  <c r="AL359" i="1" s="1"/>
  <c r="AK369" i="1" a="1"/>
  <c r="AK369" i="1" s="1"/>
  <c r="AL369" i="1" s="1"/>
  <c r="AK350" i="1" a="1"/>
  <c r="AK350" i="1" s="1"/>
  <c r="AL350" i="1" s="1"/>
  <c r="AK349" i="1" a="1"/>
  <c r="AK349" i="1" s="1"/>
  <c r="AL349" i="1" s="1"/>
  <c r="E121" i="1"/>
  <c r="K240" i="1"/>
  <c r="G240" i="1"/>
  <c r="E371" i="1"/>
  <c r="E241" i="1"/>
  <c r="E251" i="1"/>
  <c r="E221" i="1"/>
  <c r="E111" i="1"/>
  <c r="E211" i="1"/>
  <c r="E411" i="1"/>
  <c r="E341" i="1"/>
  <c r="E101" i="1"/>
  <c r="E231" i="1"/>
  <c r="E201" i="1"/>
  <c r="E261" i="1"/>
  <c r="E361" i="1"/>
  <c r="E151" i="1"/>
  <c r="E271" i="1"/>
  <c r="E161" i="1"/>
  <c r="E471" i="1"/>
  <c r="AE11" i="1"/>
  <c r="E321" i="1"/>
  <c r="E281" i="1"/>
  <c r="E301" i="1"/>
  <c r="E521" i="1"/>
  <c r="E311" i="1"/>
  <c r="E331" i="1"/>
  <c r="E511" i="1"/>
  <c r="E441" i="1"/>
  <c r="Q281" i="1"/>
  <c r="AE18" i="1"/>
  <c r="Q241" i="1"/>
  <c r="AE241" i="1" s="1"/>
  <c r="E531" i="1"/>
  <c r="Q391" i="1"/>
  <c r="AE391" i="1" s="1"/>
  <c r="Q61" i="1"/>
  <c r="Q171" i="1"/>
  <c r="G30" i="1"/>
  <c r="Q511" i="1"/>
  <c r="Q501" i="1"/>
  <c r="K30" i="1"/>
  <c r="AK267" i="1" s="1" a="1"/>
  <c r="AK267" i="1" s="1"/>
  <c r="AL267" i="1" s="1"/>
  <c r="E31" i="1"/>
  <c r="AK9" i="1" a="1"/>
  <c r="AK9" i="1" s="1"/>
  <c r="AL9" i="1" s="1"/>
  <c r="R8" i="4"/>
  <c r="E61" i="1"/>
  <c r="E81" i="1"/>
  <c r="E91" i="1"/>
  <c r="E71" i="1"/>
  <c r="E41" i="1"/>
  <c r="E21" i="1"/>
  <c r="K31" i="1"/>
  <c r="G31" i="1"/>
  <c r="K460" i="1"/>
  <c r="G460" i="1"/>
  <c r="AK459" i="1" s="1" a="1"/>
  <c r="AK459" i="1" s="1"/>
  <c r="AL459" i="1" s="1"/>
  <c r="E291" i="1"/>
  <c r="K420" i="1"/>
  <c r="G420" i="1"/>
  <c r="AK419" i="1" s="1" a="1"/>
  <c r="AK419" i="1" s="1"/>
  <c r="AL419" i="1" s="1"/>
  <c r="G190" i="1"/>
  <c r="AK189" i="1" s="1" a="1"/>
  <c r="AK189" i="1" s="1"/>
  <c r="AL189" i="1" s="1"/>
  <c r="K190" i="1"/>
  <c r="AK216" i="1" s="1" a="1"/>
  <c r="AK216" i="1" s="1"/>
  <c r="AL216" i="1" s="1"/>
  <c r="D12" i="4"/>
  <c r="D13" i="4"/>
  <c r="D5" i="4" s="1"/>
  <c r="E181" i="1"/>
  <c r="Q341" i="1"/>
  <c r="Q331" i="1"/>
  <c r="E131" i="1"/>
  <c r="E431" i="1"/>
  <c r="E351" i="1"/>
  <c r="E191" i="1"/>
  <c r="E381" i="1"/>
  <c r="G11" i="1"/>
  <c r="AK10" i="1" s="1" a="1"/>
  <c r="AK10" i="1" s="1"/>
  <c r="E461" i="1"/>
  <c r="E421" i="1"/>
  <c r="E501" i="1"/>
  <c r="Q271" i="1"/>
  <c r="Q181" i="1"/>
  <c r="Q481" i="1"/>
  <c r="Q141" i="1"/>
  <c r="Q461" i="1"/>
  <c r="Q81" i="1"/>
  <c r="AE361" i="1"/>
  <c r="AE358" i="1"/>
  <c r="AE221" i="1"/>
  <c r="AE218" i="1"/>
  <c r="AE531" i="1"/>
  <c r="AE528" i="1"/>
  <c r="AE521" i="1"/>
  <c r="AE518" i="1"/>
  <c r="Q371" i="1"/>
  <c r="AE21" i="1"/>
  <c r="AE288" i="1"/>
  <c r="AE291" i="1"/>
  <c r="AE441" i="1"/>
  <c r="AE438" i="1"/>
  <c r="AE91" i="1"/>
  <c r="AE88" i="1"/>
  <c r="AE451" i="1"/>
  <c r="AE448" i="1"/>
  <c r="AE31" i="1"/>
  <c r="AE28" i="1"/>
  <c r="AE488" i="1"/>
  <c r="AE491" i="1"/>
  <c r="AE308" i="1"/>
  <c r="AE311" i="1"/>
  <c r="AE298" i="1"/>
  <c r="AE301" i="1"/>
  <c r="AE188" i="1"/>
  <c r="AE191" i="1"/>
  <c r="Q231" i="1"/>
  <c r="AE48" i="1"/>
  <c r="AE51" i="1"/>
  <c r="AE71" i="1"/>
  <c r="AE68" i="1"/>
  <c r="Q321" i="1"/>
  <c r="AE161" i="1"/>
  <c r="AE158" i="1"/>
  <c r="AE211" i="1"/>
  <c r="AE208" i="1"/>
  <c r="Q131" i="1"/>
  <c r="Q201" i="1"/>
  <c r="Q251" i="1"/>
  <c r="Q261" i="1"/>
  <c r="Q151" i="1"/>
  <c r="AE411" i="1"/>
  <c r="AE408" i="1"/>
  <c r="AE108" i="1"/>
  <c r="AE111" i="1"/>
  <c r="Q431" i="1"/>
  <c r="Q401" i="1"/>
  <c r="Q381" i="1"/>
  <c r="Q471" i="1"/>
  <c r="Q421" i="1"/>
  <c r="Q351" i="1"/>
  <c r="AE118" i="1"/>
  <c r="AE121" i="1"/>
  <c r="Q101" i="1"/>
  <c r="Q41" i="1"/>
  <c r="AK395" i="1" l="1" a="1"/>
  <c r="AK395" i="1" s="1"/>
  <c r="AL395" i="1" s="1"/>
  <c r="AK437" i="1" a="1"/>
  <c r="AK437" i="1" s="1"/>
  <c r="AL437" i="1" s="1"/>
  <c r="AK205" i="1" a="1"/>
  <c r="AK205" i="1" s="1"/>
  <c r="AL205" i="1" s="1"/>
  <c r="AK367" i="1" a="1"/>
  <c r="AK367" i="1" s="1"/>
  <c r="AL367" i="1" s="1"/>
  <c r="AK368" i="1" a="1"/>
  <c r="AK368" i="1" s="1"/>
  <c r="AL368" i="1" s="1"/>
  <c r="AK425" i="1" a="1"/>
  <c r="AK425" i="1" s="1"/>
  <c r="AL425" i="1" s="1"/>
  <c r="AK405" i="1" a="1"/>
  <c r="AK405" i="1" s="1"/>
  <c r="AL405" i="1" s="1"/>
  <c r="AK276" i="1" a="1"/>
  <c r="AK276" i="1" s="1"/>
  <c r="AL276" i="1" s="1"/>
  <c r="AK366" i="1" a="1"/>
  <c r="AK366" i="1" s="1"/>
  <c r="AL366" i="1" s="1"/>
  <c r="AK356" i="1" a="1"/>
  <c r="AK356" i="1" s="1"/>
  <c r="AL356" i="1" s="1"/>
  <c r="AK388" i="1" a="1"/>
  <c r="AK388" i="1" s="1"/>
  <c r="AL388" i="1" s="1"/>
  <c r="AK365" i="1" a="1"/>
  <c r="AK365" i="1" s="1"/>
  <c r="AL365" i="1" s="1"/>
  <c r="AK268" i="1" a="1"/>
  <c r="AK268" i="1" s="1"/>
  <c r="AL268" i="1" s="1"/>
  <c r="AK386" i="1" a="1"/>
  <c r="AK386" i="1" s="1"/>
  <c r="AL386" i="1" s="1"/>
  <c r="AK378" i="1" a="1"/>
  <c r="AK378" i="1" s="1"/>
  <c r="AL378" i="1" s="1"/>
  <c r="AK435" i="1" a="1"/>
  <c r="AK435" i="1" s="1"/>
  <c r="AL435" i="1" s="1"/>
  <c r="AK217" i="1" a="1"/>
  <c r="AK217" i="1" s="1"/>
  <c r="AL217" i="1" s="1"/>
  <c r="AK457" i="1" a="1"/>
  <c r="AK457" i="1" s="1"/>
  <c r="AL457" i="1" s="1"/>
  <c r="AK278" i="1" a="1"/>
  <c r="AK278" i="1" s="1"/>
  <c r="AL278" i="1" s="1"/>
  <c r="AK358" i="1" a="1"/>
  <c r="AK358" i="1" s="1"/>
  <c r="AL358" i="1" s="1"/>
  <c r="AK348" i="1" a="1"/>
  <c r="AK348" i="1" s="1"/>
  <c r="AL348" i="1" s="1"/>
  <c r="AK215" i="1" a="1"/>
  <c r="AK215" i="1" s="1"/>
  <c r="AL215" i="1" s="1"/>
  <c r="AK376" i="1" a="1"/>
  <c r="AK376" i="1" s="1"/>
  <c r="AL376" i="1" s="1"/>
  <c r="AK415" i="1" a="1"/>
  <c r="AK415" i="1" s="1"/>
  <c r="AL415" i="1" s="1"/>
  <c r="AK416" i="1" a="1"/>
  <c r="AK416" i="1" s="1"/>
  <c r="AL416" i="1" s="1"/>
  <c r="AK387" i="1" a="1"/>
  <c r="AK387" i="1" s="1"/>
  <c r="AL387" i="1" s="1"/>
  <c r="AK408" i="1" a="1"/>
  <c r="AK408" i="1" s="1"/>
  <c r="AL408" i="1" s="1"/>
  <c r="AK418" i="1" a="1"/>
  <c r="AK418" i="1" s="1"/>
  <c r="AL418" i="1" s="1"/>
  <c r="AK208" i="1" a="1"/>
  <c r="AK208" i="1" s="1"/>
  <c r="AL208" i="1" s="1"/>
  <c r="AK196" i="1" a="1"/>
  <c r="AK196" i="1" s="1"/>
  <c r="AL196" i="1" s="1"/>
  <c r="AK377" i="1" a="1"/>
  <c r="AK377" i="1" s="1"/>
  <c r="AL377" i="1" s="1"/>
  <c r="AK447" i="1" a="1"/>
  <c r="AK447" i="1" s="1"/>
  <c r="AL447" i="1" s="1"/>
  <c r="AK427" i="1" a="1"/>
  <c r="AK427" i="1" s="1"/>
  <c r="AL427" i="1" s="1"/>
  <c r="AK385" i="1" a="1"/>
  <c r="AK385" i="1" s="1"/>
  <c r="AL385" i="1" s="1"/>
  <c r="AK398" i="1" a="1"/>
  <c r="AK398" i="1" s="1"/>
  <c r="AL398" i="1" s="1"/>
  <c r="AK266" i="1" a="1"/>
  <c r="AK266" i="1" s="1"/>
  <c r="AL266" i="1" s="1"/>
  <c r="AK228" i="1" a="1"/>
  <c r="AK228" i="1" s="1"/>
  <c r="AL228" i="1" s="1"/>
  <c r="AK406" i="1" a="1"/>
  <c r="AK406" i="1" s="1"/>
  <c r="AL406" i="1" s="1"/>
  <c r="AK455" i="1" a="1"/>
  <c r="AK455" i="1" s="1"/>
  <c r="AL455" i="1" s="1"/>
  <c r="AK436" i="1" a="1"/>
  <c r="AK436" i="1" s="1"/>
  <c r="AL436" i="1" s="1"/>
  <c r="AK458" i="1" a="1"/>
  <c r="AK458" i="1" s="1"/>
  <c r="AL458" i="1" s="1"/>
  <c r="AK428" i="1" a="1"/>
  <c r="AK428" i="1" s="1"/>
  <c r="AL428" i="1" s="1"/>
  <c r="AK396" i="1" a="1"/>
  <c r="AK396" i="1" s="1"/>
  <c r="AL396" i="1" s="1"/>
  <c r="AK446" i="1" a="1"/>
  <c r="AK446" i="1" s="1"/>
  <c r="AL446" i="1" s="1"/>
  <c r="AK375" i="1" a="1"/>
  <c r="AK375" i="1" s="1"/>
  <c r="AL375" i="1" s="1"/>
  <c r="AK246" i="1" a="1"/>
  <c r="AK246" i="1" s="1"/>
  <c r="AL246" i="1" s="1"/>
  <c r="AK426" i="1" a="1"/>
  <c r="AK426" i="1" s="1"/>
  <c r="AL426" i="1" s="1"/>
  <c r="AK417" i="1" a="1"/>
  <c r="AK417" i="1" s="1"/>
  <c r="AL417" i="1" s="1"/>
  <c r="AK225" i="1" a="1"/>
  <c r="AK225" i="1" s="1"/>
  <c r="AL225" i="1" s="1"/>
  <c r="AK357" i="1" a="1"/>
  <c r="AK357" i="1" s="1"/>
  <c r="AL357" i="1" s="1"/>
  <c r="AK407" i="1" a="1"/>
  <c r="AK407" i="1" s="1"/>
  <c r="AL407" i="1" s="1"/>
  <c r="AK477" i="1" a="1"/>
  <c r="AK477" i="1" s="1"/>
  <c r="AL477" i="1" s="1"/>
  <c r="AK448" i="1" a="1"/>
  <c r="AK448" i="1" s="1"/>
  <c r="AL448" i="1" s="1"/>
  <c r="AK226" i="1" a="1"/>
  <c r="AK226" i="1" s="1"/>
  <c r="AL226" i="1" s="1"/>
  <c r="AK397" i="1" a="1"/>
  <c r="AK397" i="1" s="1"/>
  <c r="AL397" i="1" s="1"/>
  <c r="AK355" i="1" a="1"/>
  <c r="AK355" i="1" s="1"/>
  <c r="AL355" i="1" s="1"/>
  <c r="AK445" i="1" a="1"/>
  <c r="AK445" i="1" s="1"/>
  <c r="AL445" i="1" s="1"/>
  <c r="AK456" i="1" a="1"/>
  <c r="AK456" i="1" s="1"/>
  <c r="AL456" i="1" s="1"/>
  <c r="AK347" i="1" a="1"/>
  <c r="AK347" i="1" s="1"/>
  <c r="AL347" i="1" s="1"/>
  <c r="AK346" i="1" a="1"/>
  <c r="AK346" i="1" s="1"/>
  <c r="AL346" i="1" s="1"/>
  <c r="AK507" i="1" a="1"/>
  <c r="AK507" i="1" s="1"/>
  <c r="AL507" i="1" s="1"/>
  <c r="AK487" i="1" a="1"/>
  <c r="AK487" i="1" s="1"/>
  <c r="AL487" i="1" s="1"/>
  <c r="AK498" i="1" a="1"/>
  <c r="AK498" i="1" s="1"/>
  <c r="AL498" i="1" s="1"/>
  <c r="AK497" i="1" a="1"/>
  <c r="AK497" i="1" s="1"/>
  <c r="AL497" i="1" s="1"/>
  <c r="AK495" i="1" a="1"/>
  <c r="AK495" i="1" s="1"/>
  <c r="AL495" i="1" s="1"/>
  <c r="AK475" i="1" a="1"/>
  <c r="AK475" i="1" s="1"/>
  <c r="AL475" i="1" s="1"/>
  <c r="AK476" i="1" a="1"/>
  <c r="AK476" i="1" s="1"/>
  <c r="AL476" i="1" s="1"/>
  <c r="AK505" i="1" a="1"/>
  <c r="AK505" i="1" s="1"/>
  <c r="AL505" i="1" s="1"/>
  <c r="AK468" i="1" a="1"/>
  <c r="AK468" i="1" s="1"/>
  <c r="AL468" i="1" s="1"/>
  <c r="AK478" i="1" a="1"/>
  <c r="AK478" i="1" s="1"/>
  <c r="AL478" i="1" s="1"/>
  <c r="AK466" i="1" a="1"/>
  <c r="AK466" i="1" s="1"/>
  <c r="AL466" i="1" s="1"/>
  <c r="AK467" i="1" a="1"/>
  <c r="AK467" i="1" s="1"/>
  <c r="AL467" i="1" s="1"/>
  <c r="AK465" i="1" a="1"/>
  <c r="AK465" i="1" s="1"/>
  <c r="AL465" i="1" s="1"/>
  <c r="AK496" i="1" a="1"/>
  <c r="AK496" i="1" s="1"/>
  <c r="AL496" i="1" s="1"/>
  <c r="AK486" i="1" a="1"/>
  <c r="AK486" i="1" s="1"/>
  <c r="AL486" i="1" s="1"/>
  <c r="AK488" i="1" a="1"/>
  <c r="AK488" i="1" s="1"/>
  <c r="AL488" i="1" s="1"/>
  <c r="AK485" i="1" a="1"/>
  <c r="AK485" i="1" s="1"/>
  <c r="AL485" i="1" s="1"/>
  <c r="AK508" i="1" a="1"/>
  <c r="AK508" i="1" s="1"/>
  <c r="AL508" i="1" s="1"/>
  <c r="AK506" i="1" a="1"/>
  <c r="AK506" i="1" s="1"/>
  <c r="AL506" i="1" s="1"/>
  <c r="AK285" i="1" a="1"/>
  <c r="AK285" i="1" s="1"/>
  <c r="AL285" i="1" s="1"/>
  <c r="AK197" i="1" a="1"/>
  <c r="AK197" i="1" s="1"/>
  <c r="AL197" i="1" s="1"/>
  <c r="AK198" i="1" a="1"/>
  <c r="AK198" i="1" s="1"/>
  <c r="AL198" i="1" s="1"/>
  <c r="AK207" i="1" a="1"/>
  <c r="AK207" i="1" s="1"/>
  <c r="AL207" i="1" s="1"/>
  <c r="AK248" i="1" a="1"/>
  <c r="AK248" i="1" s="1"/>
  <c r="AL248" i="1" s="1"/>
  <c r="AK206" i="1" a="1"/>
  <c r="AK206" i="1" s="1"/>
  <c r="AL206" i="1" s="1"/>
  <c r="AK247" i="1" a="1"/>
  <c r="AK247" i="1" s="1"/>
  <c r="AL247" i="1" s="1"/>
  <c r="AK288" i="1" a="1"/>
  <c r="AK288" i="1" s="1"/>
  <c r="AL288" i="1" s="1"/>
  <c r="AK265" i="1" a="1"/>
  <c r="AK265" i="1" s="1"/>
  <c r="AL265" i="1" s="1"/>
  <c r="AK227" i="1" a="1"/>
  <c r="AK227" i="1" s="1"/>
  <c r="AL227" i="1" s="1"/>
  <c r="AK218" i="1" a="1"/>
  <c r="AK218" i="1" s="1"/>
  <c r="AL218" i="1" s="1"/>
  <c r="AK256" i="1" a="1"/>
  <c r="AK256" i="1" s="1"/>
  <c r="AL256" i="1" s="1"/>
  <c r="AK258" i="1" a="1"/>
  <c r="AK258" i="1" s="1"/>
  <c r="AL258" i="1" s="1"/>
  <c r="AK195" i="1" a="1"/>
  <c r="AK195" i="1" s="1"/>
  <c r="AL195" i="1" s="1"/>
  <c r="AK257" i="1" a="1"/>
  <c r="AK257" i="1" s="1"/>
  <c r="AL257" i="1" s="1"/>
  <c r="AK219" i="1" a="1"/>
  <c r="AK219" i="1" s="1"/>
  <c r="AL219" i="1" s="1"/>
  <c r="AK275" i="1" a="1"/>
  <c r="AK275" i="1" s="1"/>
  <c r="AL275" i="1" s="1"/>
  <c r="AK277" i="1" a="1"/>
  <c r="AK277" i="1" s="1"/>
  <c r="AL277" i="1" s="1"/>
  <c r="AK287" i="1" a="1"/>
  <c r="AK287" i="1" s="1"/>
  <c r="AL287" i="1" s="1"/>
  <c r="AK245" i="1" a="1"/>
  <c r="AK245" i="1" s="1"/>
  <c r="AL245" i="1" s="1"/>
  <c r="AK255" i="1" a="1"/>
  <c r="AK255" i="1" s="1"/>
  <c r="AL255" i="1" s="1"/>
  <c r="N7" i="4" a="1"/>
  <c r="N7" i="4" s="1"/>
  <c r="N14" i="4" a="1"/>
  <c r="N14" i="4" s="1"/>
  <c r="N5" i="4" a="1"/>
  <c r="N5" i="4" s="1"/>
  <c r="N12" i="4" a="1"/>
  <c r="N12" i="4" s="1"/>
  <c r="N8" i="4" a="1"/>
  <c r="N8" i="4" s="1"/>
  <c r="N13" i="4" a="1"/>
  <c r="N13" i="4" s="1"/>
  <c r="AK235" i="1" a="1"/>
  <c r="AK235" i="1" s="1"/>
  <c r="AL235" i="1" s="1"/>
  <c r="N10" i="4" a="1"/>
  <c r="N10" i="4" s="1"/>
  <c r="N6" i="4" a="1"/>
  <c r="N6" i="4" s="1"/>
  <c r="N11" i="4" a="1"/>
  <c r="N11" i="4" s="1"/>
  <c r="N15" i="4" a="1"/>
  <c r="N15" i="4" s="1"/>
  <c r="N9" i="4" a="1"/>
  <c r="N9" i="4" s="1"/>
  <c r="N16" i="4" a="1"/>
  <c r="N16" i="4" s="1"/>
  <c r="AK237" i="1" a="1"/>
  <c r="AK237" i="1" s="1"/>
  <c r="AL237" i="1" s="1"/>
  <c r="AK239" i="1" a="1"/>
  <c r="AK239" i="1" s="1"/>
  <c r="AL239" i="1" s="1"/>
  <c r="AK236" i="1" a="1"/>
  <c r="AK236" i="1" s="1"/>
  <c r="AL236" i="1" s="1"/>
  <c r="AK238" i="1" a="1"/>
  <c r="AK238" i="1" s="1"/>
  <c r="AL238" i="1" s="1"/>
  <c r="AE388" i="1"/>
  <c r="AE238" i="1"/>
  <c r="AK148" i="1" a="1"/>
  <c r="AK148" i="1" s="1"/>
  <c r="AL148" i="1" s="1"/>
  <c r="AK177" i="1" a="1"/>
  <c r="AK177" i="1" s="1"/>
  <c r="AL177" i="1" s="1"/>
  <c r="AE501" i="1"/>
  <c r="AE498" i="1"/>
  <c r="AE61" i="1"/>
  <c r="AE58" i="1"/>
  <c r="AE511" i="1"/>
  <c r="AE278" i="1"/>
  <c r="AE281" i="1"/>
  <c r="AE508" i="1"/>
  <c r="AE168" i="1"/>
  <c r="AE171" i="1"/>
  <c r="AK178" i="1" a="1"/>
  <c r="AK178" i="1" s="1"/>
  <c r="AL178" i="1" s="1"/>
  <c r="AK185" i="1" a="1"/>
  <c r="AK185" i="1" s="1"/>
  <c r="AL185" i="1" s="1"/>
  <c r="AL10" i="1"/>
  <c r="AK30" i="1" a="1"/>
  <c r="AK30" i="1" s="1"/>
  <c r="AL30" i="1" s="1"/>
  <c r="AK116" i="1" a="1"/>
  <c r="AK116" i="1" s="1"/>
  <c r="AL116" i="1" s="1"/>
  <c r="AK46" i="1" a="1"/>
  <c r="AK46" i="1" s="1"/>
  <c r="AL46" i="1" s="1"/>
  <c r="AK45" i="1" a="1"/>
  <c r="AK45" i="1" s="1"/>
  <c r="AL45" i="1" s="1"/>
  <c r="AK15" i="1" a="1"/>
  <c r="AK15" i="1" s="1"/>
  <c r="AL15" i="1" s="1"/>
  <c r="AK145" i="1" a="1"/>
  <c r="AK145" i="1" s="1"/>
  <c r="AL145" i="1" s="1"/>
  <c r="AK126" i="1" a="1"/>
  <c r="AK126" i="1" s="1"/>
  <c r="AL126" i="1" s="1"/>
  <c r="AK137" i="1" a="1"/>
  <c r="AK137" i="1" s="1"/>
  <c r="AL137" i="1" s="1"/>
  <c r="AK36" i="1" a="1"/>
  <c r="AK36" i="1" s="1"/>
  <c r="AL36" i="1" s="1"/>
  <c r="AK68" i="1" a="1"/>
  <c r="AK68" i="1" s="1"/>
  <c r="AL68" i="1" s="1"/>
  <c r="AK127" i="1" a="1"/>
  <c r="AK127" i="1" s="1"/>
  <c r="AL127" i="1" s="1"/>
  <c r="AK55" i="1" a="1"/>
  <c r="AK55" i="1" s="1"/>
  <c r="AL55" i="1" s="1"/>
  <c r="AK95" i="1" a="1"/>
  <c r="AK95" i="1" s="1"/>
  <c r="AL95" i="1" s="1"/>
  <c r="AK29" i="1" a="1"/>
  <c r="AK29" i="1" s="1"/>
  <c r="AL29" i="1" s="1"/>
  <c r="AK118" i="1" a="1"/>
  <c r="AK118" i="1" s="1"/>
  <c r="AL118" i="1" s="1"/>
  <c r="AK106" i="1" a="1"/>
  <c r="AK106" i="1" s="1"/>
  <c r="AL106" i="1" s="1"/>
  <c r="AK27" i="1" a="1"/>
  <c r="AK27" i="1" s="1"/>
  <c r="AL27" i="1" s="1"/>
  <c r="AK48" i="1" a="1"/>
  <c r="AK48" i="1" s="1"/>
  <c r="AL48" i="1" s="1"/>
  <c r="AK47" i="1" a="1"/>
  <c r="AK47" i="1" s="1"/>
  <c r="AL47" i="1" s="1"/>
  <c r="AK167" i="1" a="1"/>
  <c r="AK167" i="1" s="1"/>
  <c r="AL167" i="1" s="1"/>
  <c r="AK96" i="1" a="1"/>
  <c r="AK96" i="1" s="1"/>
  <c r="AL96" i="1" s="1"/>
  <c r="AK56" i="1" a="1"/>
  <c r="AK56" i="1" s="1"/>
  <c r="AL56" i="1" s="1"/>
  <c r="AK125" i="1" a="1"/>
  <c r="AK125" i="1" s="1"/>
  <c r="AL125" i="1" s="1"/>
  <c r="AK165" i="1" a="1"/>
  <c r="AK165" i="1" s="1"/>
  <c r="AL165" i="1" s="1"/>
  <c r="AK136" i="1" a="1"/>
  <c r="AK136" i="1" s="1"/>
  <c r="AL136" i="1" s="1"/>
  <c r="AK128" i="1" a="1"/>
  <c r="AK128" i="1" s="1"/>
  <c r="AL128" i="1" s="1"/>
  <c r="AK38" i="1" a="1"/>
  <c r="AK38" i="1" s="1"/>
  <c r="AL38" i="1" s="1"/>
  <c r="AK138" i="1" a="1"/>
  <c r="AK138" i="1" s="1"/>
  <c r="AL138" i="1" s="1"/>
  <c r="AK97" i="1" a="1"/>
  <c r="AK97" i="1" s="1"/>
  <c r="AL97" i="1" s="1"/>
  <c r="AK35" i="1" a="1"/>
  <c r="AK35" i="1" s="1"/>
  <c r="AL35" i="1" s="1"/>
  <c r="AK65" i="1" a="1"/>
  <c r="AK65" i="1" s="1"/>
  <c r="AL65" i="1" s="1"/>
  <c r="AK135" i="1" a="1"/>
  <c r="AK135" i="1" s="1"/>
  <c r="AL135" i="1" s="1"/>
  <c r="AK117" i="1" a="1"/>
  <c r="AK117" i="1" s="1"/>
  <c r="AL117" i="1" s="1"/>
  <c r="AK16" i="1" a="1"/>
  <c r="AK16" i="1" s="1"/>
  <c r="AL16" i="1" s="1"/>
  <c r="AK166" i="1" a="1"/>
  <c r="AK166" i="1" s="1"/>
  <c r="AL166" i="1" s="1"/>
  <c r="AK26" i="1" a="1"/>
  <c r="AK26" i="1" s="1"/>
  <c r="AL26" i="1" s="1"/>
  <c r="AK105" i="1" a="1"/>
  <c r="AK105" i="1" s="1"/>
  <c r="AL105" i="1" s="1"/>
  <c r="AK66" i="1" a="1"/>
  <c r="AK66" i="1" s="1"/>
  <c r="AL66" i="1" s="1"/>
  <c r="AK18" i="1" a="1"/>
  <c r="AK18" i="1" s="1"/>
  <c r="AL18" i="1" s="1"/>
  <c r="AK67" i="1" a="1"/>
  <c r="AK67" i="1" s="1"/>
  <c r="AL67" i="1" s="1"/>
  <c r="AK25" i="1" a="1"/>
  <c r="AK25" i="1" s="1"/>
  <c r="AL25" i="1" s="1"/>
  <c r="AK168" i="1" a="1"/>
  <c r="AK168" i="1" s="1"/>
  <c r="AL168" i="1" s="1"/>
  <c r="AK108" i="1" a="1"/>
  <c r="AK108" i="1" s="1"/>
  <c r="AL108" i="1" s="1"/>
  <c r="AK28" i="1" a="1"/>
  <c r="AK28" i="1" s="1"/>
  <c r="AL28" i="1" s="1"/>
  <c r="AK146" i="1" a="1"/>
  <c r="AK146" i="1" s="1"/>
  <c r="AL146" i="1" s="1"/>
  <c r="AK107" i="1" a="1"/>
  <c r="AK107" i="1" s="1"/>
  <c r="AL107" i="1" s="1"/>
  <c r="AK115" i="1" a="1"/>
  <c r="AK115" i="1" s="1"/>
  <c r="AL115" i="1" s="1"/>
  <c r="AK17" i="1" a="1"/>
  <c r="AK17" i="1" s="1"/>
  <c r="AL17" i="1" s="1"/>
  <c r="AK175" i="1" a="1"/>
  <c r="AK175" i="1" s="1"/>
  <c r="AL175" i="1" s="1"/>
  <c r="AK37" i="1" a="1"/>
  <c r="AK37" i="1" s="1"/>
  <c r="AL37" i="1" s="1"/>
  <c r="AK98" i="1" a="1"/>
  <c r="AK98" i="1" s="1"/>
  <c r="AL98" i="1" s="1"/>
  <c r="AK57" i="1" a="1"/>
  <c r="AK57" i="1" s="1"/>
  <c r="AL57" i="1" s="1"/>
  <c r="AK58" i="1" a="1"/>
  <c r="AK58" i="1" s="1"/>
  <c r="AL58" i="1" s="1"/>
  <c r="AE338" i="1"/>
  <c r="AE331" i="1"/>
  <c r="AE341" i="1"/>
  <c r="AE328" i="1"/>
  <c r="AE271" i="1"/>
  <c r="AE268" i="1"/>
  <c r="AE181" i="1"/>
  <c r="AE178" i="1"/>
  <c r="AE81" i="1"/>
  <c r="AE78" i="1"/>
  <c r="AE458" i="1"/>
  <c r="AE461" i="1"/>
  <c r="AE138" i="1"/>
  <c r="AE141" i="1"/>
  <c r="AE481" i="1"/>
  <c r="AE478" i="1"/>
  <c r="AE98" i="1"/>
  <c r="AE101" i="1"/>
  <c r="AE351" i="1"/>
  <c r="AE348" i="1"/>
  <c r="AE38" i="1"/>
  <c r="AE41" i="1"/>
  <c r="AE421" i="1"/>
  <c r="AE418" i="1"/>
  <c r="AE428" i="1"/>
  <c r="AE431" i="1"/>
  <c r="AE258" i="1"/>
  <c r="AE261" i="1"/>
  <c r="AE228" i="1"/>
  <c r="AE231" i="1"/>
  <c r="AE371" i="1"/>
  <c r="AE368" i="1"/>
  <c r="AE468" i="1"/>
  <c r="AE471" i="1"/>
  <c r="AE248" i="1"/>
  <c r="AE251" i="1"/>
  <c r="AE201" i="1"/>
  <c r="AE198" i="1"/>
  <c r="AE378" i="1"/>
  <c r="AE381" i="1"/>
  <c r="AE398" i="1"/>
  <c r="AE401" i="1"/>
  <c r="AE151" i="1"/>
  <c r="AE148" i="1"/>
  <c r="AE128" i="1"/>
  <c r="AE131" i="1"/>
  <c r="AE321" i="1"/>
  <c r="AE318" i="1"/>
  <c r="R11" i="4" l="1"/>
  <c r="J8" i="4"/>
  <c r="R10" i="4"/>
  <c r="J9" i="4"/>
  <c r="J7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<sst xmlns="http://schemas.openxmlformats.org/spreadsheetml/2006/main" count="2418" uniqueCount="124">
  <si>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</si>
  <si>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</si>
  <si>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</si>
  <si>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</si>
  <si>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</si>
  <si>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</si>
  <si>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</si>
  <si>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</si>
  <si>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</si>
  <si>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</si>
  <si>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</si>
  <si>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</si>
  <si>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</si>
  <si>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</si>
  <si>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</si>
  <si>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</si>
  <si>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</si>
  <si>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</si>
  <si>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</si>
  <si>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</si>
  <si>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</si>
  <si>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</si>
  <si>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</si>
  <si>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</si>
  <si>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</si>
  <si>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</si>
  <si>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</si>
  <si>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</si>
  <si>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amp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</si>
  <si>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</si>
  <si>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</si>
  <si>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</si>
  <si>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</si>
  <si>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</si>
  <si>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</si>
  <si>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</si>
  <si>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</si>
  <si>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</si>
  <si>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</si>
  <si>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</si>
  <si>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</si>
  <si>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</si>
  <si>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</si>
  <si>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</si>
  <si>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</si>
  <si>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hs  semaine</t>
  </si>
  <si>
    <t>jour semaine maximun</t>
  </si>
  <si>
    <t>H semaine hc de</t>
  </si>
  <si>
    <t>amplitude jour +12 h</t>
  </si>
  <si>
    <t>jour +10 h</t>
  </si>
  <si>
    <t xml:space="preserve">mois </t>
  </si>
  <si>
    <t>congé de naissance</t>
  </si>
  <si>
    <t>congé parentale</t>
  </si>
  <si>
    <t>congé parentale week end</t>
  </si>
  <si>
    <t>résultat</t>
  </si>
  <si>
    <t>heures semaine + 48h</t>
  </si>
  <si>
    <t>jours hedbomadaire + 6 jours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</si>
  <si>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</si>
  <si>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</si>
  <si>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</si>
  <si>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</si>
  <si>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</si>
  <si>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</si>
  <si>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</si>
  <si>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type de journée</t>
  </si>
  <si>
    <t>télétravail</t>
  </si>
  <si>
    <t xml:space="preserve">repos journalier </t>
  </si>
  <si>
    <t xml:space="preserve">repos journalier du </t>
  </si>
  <si>
    <t>à</t>
  </si>
  <si>
    <t xml:space="preserve">heure de pause repas </t>
  </si>
  <si>
    <t xml:space="preserve">  </t>
  </si>
  <si>
    <t>J1</t>
  </si>
  <si>
    <t>J2</t>
  </si>
  <si>
    <t>J3</t>
  </si>
  <si>
    <t>J4</t>
  </si>
  <si>
    <t>J5</t>
  </si>
  <si>
    <t>J6</t>
  </si>
  <si>
    <t>J7</t>
  </si>
  <si>
    <t xml:space="preserve">H Jour réel </t>
  </si>
  <si>
    <t>travail annuel +1607h</t>
  </si>
  <si>
    <t xml:space="preserve">Heures suplémentaires </t>
  </si>
  <si>
    <t>18h30 à 22h</t>
  </si>
  <si>
    <t>22h à 24</t>
  </si>
  <si>
    <t xml:space="preserve">24h à 6h </t>
  </si>
  <si>
    <t xml:space="preserve">dimanche </t>
  </si>
  <si>
    <t xml:space="preserve">samedi </t>
  </si>
  <si>
    <t>heures + 35</t>
  </si>
  <si>
    <t>jours fériés</t>
  </si>
  <si>
    <t>heures</t>
  </si>
  <si>
    <t xml:space="preserve">jours et heures réels </t>
  </si>
  <si>
    <t>Vscolaire</t>
  </si>
  <si>
    <t>vscolaire</t>
  </si>
  <si>
    <t>pause repas midi</t>
  </si>
  <si>
    <t xml:space="preserve">début </t>
  </si>
  <si>
    <t>fin</t>
  </si>
  <si>
    <t xml:space="preserve">fin </t>
  </si>
  <si>
    <t>oui/non</t>
  </si>
  <si>
    <t>non</t>
  </si>
  <si>
    <t xml:space="preserve">non </t>
  </si>
  <si>
    <t>h</t>
  </si>
  <si>
    <t>h par mois</t>
  </si>
  <si>
    <t xml:space="preserve">Pause repas </t>
  </si>
  <si>
    <t>midi</t>
  </si>
  <si>
    <t>soir</t>
  </si>
  <si>
    <t>repas midi</t>
  </si>
  <si>
    <t>repas soir</t>
  </si>
  <si>
    <t>résultat des heures hc 2024</t>
  </si>
  <si>
    <t xml:space="preserve">concours </t>
  </si>
  <si>
    <t>autorisation d'absence</t>
  </si>
  <si>
    <t xml:space="preserve">pause </t>
  </si>
  <si>
    <t xml:space="preserve">j et h semaine </t>
  </si>
  <si>
    <t>paiement</t>
  </si>
  <si>
    <t>heures suplémenatires</t>
  </si>
  <si>
    <t>divers pause avant 18:30</t>
  </si>
  <si>
    <t xml:space="preserve">résultat hebdomadaire </t>
  </si>
  <si>
    <t>18h30-22h00</t>
  </si>
  <si>
    <t>22h00 -00h00</t>
  </si>
  <si>
    <t>06h - 18h30</t>
  </si>
  <si>
    <t>00h00-06h</t>
  </si>
  <si>
    <t>pause repas soir entre 18h30 et 22h</t>
  </si>
  <si>
    <t>h incovar</t>
  </si>
  <si>
    <t>heures incovar</t>
  </si>
  <si>
    <t>jours 2024 (366 j)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</si>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</sst>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]:mm"/>
    <numFmt numFmtId="165" formatCode="[$-40C]d\-mmm;@"/>
    <numFmt numFmtId="166" formatCode="dddd\ d\ mmm"/>
    <numFmt numFmtId="167" formatCode="d\ &quot;j.&quot;dd/mm/yy\ hh:mm"/>
    <numFmt numFmtId="168" formatCode="[$-F800]dddd\,\ mmmm\ dd\,\ yyyy"/>
    <numFmt numFmtId="169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/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/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0" xfId="0" applyFont="1" applyFill="1" applyBorder="1"/>
    <xf numFmtId="0" fontId="3" fillId="2" borderId="7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0" fillId="2" borderId="11" xfId="0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0" borderId="0" xfId="0" applyNumberFormat="1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1" fillId="12" borderId="12" xfId="0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167" fontId="0" fillId="13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wrapText="1"/>
    </xf>
    <xf numFmtId="164" fontId="0" fillId="5" borderId="3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9" borderId="1" xfId="0" applyNumberFormat="1" applyFill="1" applyBorder="1" applyAlignment="1">
      <alignment horizontal="center" vertical="center"/>
    </xf>
    <xf numFmtId="164" fontId="1" fillId="0" borderId="0" xfId="0" applyNumberFormat="1" applyFont="1"/>
    <xf numFmtId="0" fontId="0" fillId="9" borderId="1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164" fontId="0" fillId="15" borderId="1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0" fontId="7" fillId="9" borderId="15" xfId="0" applyFont="1" applyFill="1" applyBorder="1"/>
    <xf numFmtId="0" fontId="7" fillId="9" borderId="16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/>
    <xf numFmtId="164" fontId="0" fillId="3" borderId="22" xfId="0" applyNumberFormat="1" applyFill="1" applyBorder="1" applyAlignment="1">
      <alignment horizontal="center"/>
    </xf>
    <xf numFmtId="164" fontId="0" fillId="3" borderId="23" xfId="0" applyNumberFormat="1" applyFill="1" applyBorder="1" applyAlignment="1">
      <alignment horizontal="center"/>
    </xf>
    <xf numFmtId="164" fontId="0" fillId="3" borderId="24" xfId="0" applyNumberForma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1" fontId="0" fillId="3" borderId="25" xfId="0" applyNumberFormat="1" applyFill="1" applyBorder="1" applyAlignment="1">
      <alignment horizontal="center"/>
    </xf>
    <xf numFmtId="0" fontId="0" fillId="14" borderId="26" xfId="0" applyFill="1" applyBorder="1" applyAlignment="1">
      <alignment horizontal="center"/>
    </xf>
    <xf numFmtId="164" fontId="0" fillId="14" borderId="25" xfId="0" applyNumberForma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0" fontId="0" fillId="14" borderId="27" xfId="0" applyFill="1" applyBorder="1" applyAlignment="1">
      <alignment horizontal="center"/>
    </xf>
    <xf numFmtId="164" fontId="0" fillId="14" borderId="26" xfId="0" applyNumberFormat="1" applyFill="1" applyBorder="1" applyAlignment="1">
      <alignment horizontal="center"/>
    </xf>
    <xf numFmtId="1" fontId="0" fillId="3" borderId="23" xfId="0" applyNumberForma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164" fontId="0" fillId="9" borderId="1" xfId="0" applyNumberForma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0" xfId="0" applyFont="1" applyBorder="1"/>
    <xf numFmtId="0" fontId="0" fillId="0" borderId="1" xfId="0" applyBorder="1"/>
    <xf numFmtId="164" fontId="0" fillId="0" borderId="3" xfId="0" applyNumberFormat="1" applyBorder="1" applyAlignment="1">
      <alignment horizontal="center"/>
    </xf>
    <xf numFmtId="0" fontId="0" fillId="0" borderId="0" xfId="0" applyBorder="1"/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5" borderId="32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7" borderId="18" xfId="0" applyFont="1" applyFill="1" applyBorder="1"/>
    <xf numFmtId="0" fontId="1" fillId="7" borderId="19" xfId="0" applyFont="1" applyFill="1" applyBorder="1"/>
    <xf numFmtId="0" fontId="1" fillId="7" borderId="21" xfId="0" applyFont="1" applyFill="1" applyBorder="1"/>
    <xf numFmtId="0" fontId="0" fillId="7" borderId="18" xfId="0" applyFill="1" applyBorder="1"/>
    <xf numFmtId="0" fontId="8" fillId="7" borderId="19" xfId="0" applyFont="1" applyFill="1" applyBorder="1"/>
    <xf numFmtId="0" fontId="0" fillId="7" borderId="21" xfId="0" applyFill="1" applyBorder="1" applyAlignment="1">
      <alignment horizontal="center"/>
    </xf>
    <xf numFmtId="0" fontId="0" fillId="7" borderId="19" xfId="0" applyFont="1" applyFill="1" applyBorder="1" applyAlignment="1">
      <alignment horizontal="center" vertical="center"/>
    </xf>
    <xf numFmtId="166" fontId="0" fillId="10" borderId="3" xfId="0" applyNumberFormat="1" applyFill="1" applyBorder="1" applyAlignment="1">
      <alignment horizontal="center"/>
    </xf>
    <xf numFmtId="167" fontId="0" fillId="11" borderId="2" xfId="0" applyNumberFormat="1" applyFill="1" applyBorder="1" applyAlignment="1">
      <alignment horizontal="center"/>
    </xf>
    <xf numFmtId="166" fontId="0" fillId="4" borderId="3" xfId="0" applyNumberFormat="1" applyFill="1" applyBorder="1" applyAlignment="1">
      <alignment horizontal="center"/>
    </xf>
    <xf numFmtId="0" fontId="2" fillId="0" borderId="0" xfId="0" applyFont="1"/>
    <xf numFmtId="165" fontId="2" fillId="0" borderId="29" xfId="0" applyNumberFormat="1" applyFont="1" applyBorder="1" applyAlignment="1">
      <alignment horizontal="center"/>
    </xf>
    <xf numFmtId="165" fontId="2" fillId="0" borderId="30" xfId="0" applyNumberFormat="1" applyFont="1" applyBorder="1" applyAlignment="1">
      <alignment horizontal="center"/>
    </xf>
    <xf numFmtId="165" fontId="2" fillId="0" borderId="31" xfId="0" applyNumberFormat="1" applyFont="1" applyBorder="1" applyAlignment="1">
      <alignment horizontal="center"/>
    </xf>
    <xf numFmtId="0" fontId="2" fillId="0" borderId="0" xfId="0" applyFont="1" applyBorder="1"/>
    <xf numFmtId="167" fontId="2" fillId="13" borderId="2" xfId="0" applyNumberFormat="1" applyFont="1" applyFill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/>
    </xf>
    <xf numFmtId="164" fontId="0" fillId="4" borderId="34" xfId="0" applyNumberForma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2" fillId="3" borderId="20" xfId="0" applyNumberFormat="1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168" fontId="0" fillId="12" borderId="3" xfId="0" applyNumberForma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6" fontId="0" fillId="0" borderId="0" xfId="0" applyNumberFormat="1"/>
    <xf numFmtId="164" fontId="2" fillId="9" borderId="1" xfId="0" applyNumberFormat="1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1" fontId="0" fillId="9" borderId="3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165" fontId="2" fillId="0" borderId="35" xfId="0" applyNumberFormat="1" applyFont="1" applyBorder="1" applyAlignment="1">
      <alignment horizontal="center"/>
    </xf>
    <xf numFmtId="165" fontId="2" fillId="0" borderId="36" xfId="0" applyNumberFormat="1" applyFont="1" applyBorder="1" applyAlignment="1">
      <alignment horizontal="center"/>
    </xf>
    <xf numFmtId="165" fontId="2" fillId="0" borderId="37" xfId="0" applyNumberFormat="1" applyFont="1" applyBorder="1" applyAlignment="1">
      <alignment horizontal="center"/>
    </xf>
    <xf numFmtId="166" fontId="0" fillId="10" borderId="1" xfId="0" applyNumberFormat="1" applyFill="1" applyBorder="1" applyAlignment="1">
      <alignment horizontal="center"/>
    </xf>
    <xf numFmtId="0" fontId="0" fillId="7" borderId="2" xfId="0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center" vertical="center"/>
    </xf>
    <xf numFmtId="164" fontId="0" fillId="3" borderId="2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right" vertical="center"/>
    </xf>
    <xf numFmtId="164" fontId="0" fillId="3" borderId="11" xfId="0" applyNumberFormat="1" applyFon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right" vertical="center"/>
    </xf>
    <xf numFmtId="0" fontId="0" fillId="7" borderId="3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right" vertical="center"/>
    </xf>
    <xf numFmtId="0" fontId="0" fillId="7" borderId="2" xfId="0" applyFill="1" applyBorder="1" applyAlignment="1">
      <alignment horizontal="right" vertical="center"/>
    </xf>
    <xf numFmtId="0" fontId="0" fillId="16" borderId="1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/>
    </xf>
    <xf numFmtId="0" fontId="0" fillId="2" borderId="14" xfId="0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46" fontId="3" fillId="0" borderId="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8" fontId="0" fillId="0" borderId="0" xfId="0" applyNumberFormat="1"/>
    <xf numFmtId="0" fontId="0" fillId="0" borderId="0" xfId="0" applyFont="1" applyAlignment="1">
      <alignment horizontal="center"/>
    </xf>
    <xf numFmtId="0" fontId="3" fillId="0" borderId="20" xfId="0" applyFont="1" applyBorder="1"/>
    <xf numFmtId="0" fontId="0" fillId="0" borderId="20" xfId="0" applyFont="1" applyBorder="1" applyAlignment="1">
      <alignment horizontal="center"/>
    </xf>
    <xf numFmtId="20" fontId="0" fillId="0" borderId="2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164" fontId="0" fillId="17" borderId="18" xfId="0" applyNumberFormat="1" applyFill="1" applyBorder="1" applyAlignment="1">
      <alignment horizontal="center" vertical="center"/>
    </xf>
    <xf numFmtId="164" fontId="0" fillId="17" borderId="21" xfId="0" applyNumberFormat="1" applyFill="1" applyBorder="1" applyAlignment="1">
      <alignment horizontal="center" vertical="center"/>
    </xf>
    <xf numFmtId="164" fontId="0" fillId="17" borderId="19" xfId="0" applyNumberFormat="1" applyFill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0" fontId="0" fillId="7" borderId="20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4" fontId="0" fillId="3" borderId="41" xfId="0" applyNumberFormat="1" applyFill="1" applyBorder="1" applyAlignment="1">
      <alignment horizontal="center"/>
    </xf>
    <xf numFmtId="164" fontId="0" fillId="3" borderId="42" xfId="0" applyNumberFormat="1" applyFill="1" applyBorder="1" applyAlignment="1">
      <alignment horizontal="center"/>
    </xf>
    <xf numFmtId="164" fontId="0" fillId="3" borderId="43" xfId="0" applyNumberFormat="1" applyFill="1" applyBorder="1" applyAlignment="1">
      <alignment horizontal="center"/>
    </xf>
    <xf numFmtId="0" fontId="0" fillId="0" borderId="3" xfId="0" applyBorder="1"/>
    <xf numFmtId="164" fontId="0" fillId="3" borderId="13" xfId="0" applyNumberFormat="1" applyFill="1" applyBorder="1" applyAlignment="1">
      <alignment horizontal="center"/>
    </xf>
    <xf numFmtId="20" fontId="0" fillId="0" borderId="3" xfId="0" applyNumberFormat="1" applyBorder="1" applyAlignment="1">
      <alignment horizontal="center" vertical="center"/>
    </xf>
    <xf numFmtId="20" fontId="0" fillId="0" borderId="3" xfId="0" applyNumberFormat="1" applyBorder="1"/>
    <xf numFmtId="164" fontId="2" fillId="0" borderId="3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7" fillId="9" borderId="16" xfId="0" applyFont="1" applyFill="1" applyBorder="1"/>
    <xf numFmtId="164" fontId="0" fillId="18" borderId="1" xfId="0" applyNumberFormat="1" applyFill="1" applyBorder="1" applyAlignment="1">
      <alignment horizontal="center"/>
    </xf>
    <xf numFmtId="0" fontId="0" fillId="18" borderId="44" xfId="0" applyFill="1" applyBorder="1" applyAlignment="1">
      <alignment horizontal="center" vertical="center"/>
    </xf>
    <xf numFmtId="0" fontId="0" fillId="18" borderId="5" xfId="0" applyFill="1" applyBorder="1"/>
    <xf numFmtId="0" fontId="0" fillId="18" borderId="6" xfId="0" applyFill="1" applyBorder="1"/>
    <xf numFmtId="0" fontId="0" fillId="10" borderId="1" xfId="0" applyFill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0" fontId="7" fillId="18" borderId="4" xfId="0" applyFont="1" applyFill="1" applyBorder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D9E1F2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06555/Downloads/test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planning "/>
      <sheetName val="ref"/>
    </sheetNames>
    <sheetDataSet>
      <sheetData sheetId="0"/>
      <sheetData sheetId="1"/>
      <sheetData sheetId="2">
        <row r="2">
          <cell r="L2" t="str">
            <v>aout</v>
          </cell>
          <cell r="M2">
            <v>8</v>
          </cell>
        </row>
        <row r="3">
          <cell r="L3" t="str">
            <v>avril</v>
          </cell>
          <cell r="M3">
            <v>4</v>
          </cell>
        </row>
        <row r="4">
          <cell r="L4" t="str">
            <v>décembre</v>
          </cell>
          <cell r="M4">
            <v>12</v>
          </cell>
        </row>
        <row r="5">
          <cell r="L5" t="str">
            <v>février</v>
          </cell>
          <cell r="M5">
            <v>2</v>
          </cell>
        </row>
        <row r="6">
          <cell r="L6" t="str">
            <v>janvier</v>
          </cell>
          <cell r="M6">
            <v>1</v>
          </cell>
        </row>
        <row r="7">
          <cell r="L7" t="str">
            <v>juillet</v>
          </cell>
          <cell r="M7">
            <v>7</v>
          </cell>
        </row>
        <row r="8">
          <cell r="L8" t="str">
            <v>juin</v>
          </cell>
          <cell r="M8">
            <v>6</v>
          </cell>
        </row>
        <row r="9">
          <cell r="L9" t="str">
            <v>mai</v>
          </cell>
          <cell r="M9">
            <v>5</v>
          </cell>
        </row>
        <row r="10">
          <cell r="L10" t="str">
            <v>mars</v>
          </cell>
          <cell r="M10">
            <v>3</v>
          </cell>
        </row>
        <row r="11">
          <cell r="L11" t="str">
            <v>novembre</v>
          </cell>
          <cell r="M11">
            <v>11</v>
          </cell>
        </row>
        <row r="12">
          <cell r="L12" t="str">
            <v>octobre</v>
          </cell>
          <cell r="M12">
            <v>10</v>
          </cell>
        </row>
        <row r="13">
          <cell r="L13" t="str">
            <v>septembre</v>
          </cell>
          <cell r="M13">
            <v>9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zoomScale="75" zoomScaleNormal="75" workbookViewId="0">
      <selection activeCell="N21" sqref="N21"/>
    </sheetView>
  </sheetViews>
  <sheetFormatPr baseColWidth="10" defaultRowHeight="15" x14ac:dyDescent="0.25"/>
  <cols>
    <col min="1" max="1" width="6.85546875" customWidth="1"/>
    <col min="2" max="2" width="23.85546875" customWidth="1"/>
    <col min="3" max="3" width="9.140625" customWidth="1"/>
    <col min="4" max="4" width="17.85546875" customWidth="1"/>
    <col min="5" max="5" width="24" customWidth="1"/>
    <col min="6" max="6" width="8.7109375" customWidth="1"/>
    <col min="7" max="7" width="5.85546875" customWidth="1"/>
    <col min="8" max="8" width="15.7109375" customWidth="1"/>
    <col min="9" max="9" width="22" customWidth="1"/>
    <col min="10" max="10" width="15.140625" customWidth="1"/>
    <col min="11" max="11" width="9.5703125" customWidth="1"/>
    <col min="12" max="12" width="3.140625" customWidth="1"/>
    <col min="13" max="13" width="13" customWidth="1"/>
    <col min="14" max="14" width="21.140625" customWidth="1"/>
    <col min="15" max="15" width="7.28515625" customWidth="1"/>
    <col min="17" max="17" width="17" customWidth="1"/>
    <col min="18" max="18" width="15" customWidth="1"/>
    <col min="19" max="19" width="13.7109375" customWidth="1"/>
    <col min="22" max="22" width="15" customWidth="1"/>
  </cols>
  <sheetData>
    <row r="1" spans="1:22" ht="13.9" customHeight="1" x14ac:dyDescent="1.35">
      <c r="A1" s="87"/>
    </row>
    <row r="2" spans="1:22" ht="14.45" customHeight="1" thickBot="1" x14ac:dyDescent="0.3"/>
    <row r="3" spans="1:22" ht="19.5" thickBot="1" x14ac:dyDescent="0.35">
      <c r="B3" s="99"/>
      <c r="C3" s="100" t="s">
        <v>89</v>
      </c>
      <c r="D3" s="253"/>
      <c r="E3" s="255" t="s">
        <v>121</v>
      </c>
      <c r="I3" s="123" t="s">
        <v>80</v>
      </c>
      <c r="J3" s="124"/>
      <c r="M3" s="179" t="s">
        <v>100</v>
      </c>
      <c r="N3" s="27"/>
      <c r="P3" s="201"/>
      <c r="Q3" s="202"/>
      <c r="R3" s="193" t="s">
        <v>106</v>
      </c>
      <c r="V3" s="211" t="s">
        <v>101</v>
      </c>
    </row>
    <row r="4" spans="1:22" ht="18.75" x14ac:dyDescent="0.25">
      <c r="B4" s="101"/>
      <c r="C4" s="102" t="s">
        <v>44</v>
      </c>
      <c r="D4" s="103" t="s">
        <v>88</v>
      </c>
      <c r="E4" s="260" t="s">
        <v>88</v>
      </c>
      <c r="I4" s="75" t="s">
        <v>81</v>
      </c>
      <c r="J4" s="76">
        <f>SUM(hs!F4:F12)</f>
        <v>0</v>
      </c>
      <c r="M4" s="28" t="s">
        <v>50</v>
      </c>
      <c r="N4" s="47" t="s">
        <v>99</v>
      </c>
      <c r="O4" s="72"/>
      <c r="P4" s="201"/>
      <c r="Q4" s="193" t="s">
        <v>79</v>
      </c>
      <c r="R4" s="195"/>
      <c r="T4" s="210" t="s">
        <v>102</v>
      </c>
      <c r="U4" s="210" t="s">
        <v>98</v>
      </c>
      <c r="V4" s="203">
        <f>COUNTIF('planning '!S5:S531,ref!Q5)</f>
        <v>0</v>
      </c>
    </row>
    <row r="5" spans="1:22" ht="14.45" customHeight="1" x14ac:dyDescent="0.25">
      <c r="B5" s="185" t="s">
        <v>20</v>
      </c>
      <c r="C5" s="186">
        <f>COUNTIF('planning '!$F$5:$F$526,B5)</f>
        <v>197</v>
      </c>
      <c r="D5" s="184">
        <f>SUM('planning '!L5:L531)-D14-D13</f>
        <v>77.525694444444653</v>
      </c>
      <c r="E5" s="254">
        <f>SUM('planning '!N5:N531)-D14-D9</f>
        <v>-0.33402777777778869</v>
      </c>
      <c r="I5" s="75" t="s">
        <v>82</v>
      </c>
      <c r="J5" s="76">
        <f>SUM(hs!H4:H12)</f>
        <v>0</v>
      </c>
      <c r="L5" s="182">
        <f t="shared" ref="L5:L16" si="0">VLOOKUP(M5,listeMois,2)</f>
        <v>1</v>
      </c>
      <c r="M5" s="180" t="s">
        <v>31</v>
      </c>
      <c r="N5" s="181" cm="1">
        <f t="array" ref="N5">SUM(IFERROR((
MONTH('planning '!E:E)=Bilan!L5)*'planning '!L:L,
0))</f>
        <v>8.1291666666666664</v>
      </c>
      <c r="P5" s="201"/>
      <c r="Q5" s="193" t="s">
        <v>104</v>
      </c>
      <c r="R5" s="195">
        <f>SUM('planning '!W5:W531)</f>
        <v>0.22847222222222258</v>
      </c>
      <c r="T5" s="210" t="s">
        <v>103</v>
      </c>
      <c r="U5" s="210" t="s">
        <v>97</v>
      </c>
      <c r="V5" s="203">
        <f>COUNTIF('planning '!X5:X531,ref!Q5)</f>
        <v>0</v>
      </c>
    </row>
    <row r="6" spans="1:22" ht="14.45" customHeight="1" x14ac:dyDescent="0.25">
      <c r="B6" s="75" t="s">
        <v>21</v>
      </c>
      <c r="C6" s="73">
        <f>COUNTIF('planning '!$F$5:$F$526,B6)</f>
        <v>24</v>
      </c>
      <c r="D6" s="95">
        <f>C6*ref!E$5</f>
        <v>7</v>
      </c>
      <c r="E6" s="256"/>
      <c r="I6" s="75" t="s">
        <v>83</v>
      </c>
      <c r="J6" s="76">
        <f>SUM(hs!J4:J12)</f>
        <v>0</v>
      </c>
      <c r="L6" s="182">
        <f t="shared" si="0"/>
        <v>2</v>
      </c>
      <c r="M6" s="180" t="s">
        <v>32</v>
      </c>
      <c r="N6" s="181" cm="1">
        <f t="array" ref="N6">SUM(IFERROR((
MONTH('planning '!E:E)=Bilan!L6)*'planning '!L:L,
0))</f>
        <v>7.263194444444447</v>
      </c>
      <c r="P6" s="201"/>
      <c r="Q6" s="209" t="s">
        <v>105</v>
      </c>
      <c r="R6" s="206">
        <f>SUM('planning '!AB5:AB411)</f>
        <v>0</v>
      </c>
    </row>
    <row r="7" spans="1:22" x14ac:dyDescent="0.25">
      <c r="B7" s="75" t="s">
        <v>24</v>
      </c>
      <c r="C7" s="73">
        <f>COUNTIF('planning '!$F$5:$F$526,B7)</f>
        <v>5</v>
      </c>
      <c r="D7" s="76">
        <f>C7*ref!E$5</f>
        <v>1.4583333333333335</v>
      </c>
      <c r="E7" s="256"/>
      <c r="I7" s="123" t="s">
        <v>84</v>
      </c>
      <c r="J7" s="125" t="e">
        <f>SUM('planning '!#REF!)</f>
        <v>#REF!</v>
      </c>
      <c r="L7" s="182">
        <f t="shared" si="0"/>
        <v>3</v>
      </c>
      <c r="M7" s="180" t="s">
        <v>33</v>
      </c>
      <c r="N7" s="181" cm="1">
        <f t="array" ref="N7">SUM(IFERROR((
MONTH('planning '!E:E)=Bilan!L7)*'planning '!L:L,
0))</f>
        <v>8.3090277777777786</v>
      </c>
      <c r="P7" s="207"/>
      <c r="Q7" s="208" t="s">
        <v>49</v>
      </c>
      <c r="R7" s="196">
        <f>SUM('planning '!M5:M531)</f>
        <v>2.4729166666666655</v>
      </c>
    </row>
    <row r="8" spans="1:22" x14ac:dyDescent="0.25">
      <c r="B8" s="75" t="s">
        <v>25</v>
      </c>
      <c r="C8" s="73">
        <f>COUNTIF('planning '!$F$5:$F$526,B8)</f>
        <v>0</v>
      </c>
      <c r="D8" s="76">
        <f>C8*ref!E$5</f>
        <v>0</v>
      </c>
      <c r="E8" s="256"/>
      <c r="I8" s="123" t="s">
        <v>85</v>
      </c>
      <c r="J8" s="125" t="e">
        <f>SUM('planning '!#REF!)</f>
        <v>#REF!</v>
      </c>
      <c r="L8" s="182">
        <f t="shared" si="0"/>
        <v>4</v>
      </c>
      <c r="M8" s="180" t="s">
        <v>34</v>
      </c>
      <c r="N8" s="181" cm="1">
        <f t="array" ref="N8">SUM(IFERROR((
MONTH('planning '!E:E)=Bilan!L8)*'planning '!L:L,
0))</f>
        <v>7.436805555555555</v>
      </c>
      <c r="P8" s="201"/>
      <c r="Q8" s="193" t="s">
        <v>48</v>
      </c>
      <c r="R8" s="195" t="e">
        <f>SUM('planning '!P5:P531)</f>
        <v>#N/A</v>
      </c>
    </row>
    <row r="9" spans="1:22" x14ac:dyDescent="0.25">
      <c r="B9" s="75" t="s">
        <v>26</v>
      </c>
      <c r="C9" s="73">
        <f>COUNTIF('planning '!$F$5:$F$526,B9)</f>
        <v>10</v>
      </c>
      <c r="D9" s="76">
        <f>C9*ref!E$5</f>
        <v>2.916666666666667</v>
      </c>
      <c r="E9" s="256"/>
      <c r="I9" s="123" t="s">
        <v>86</v>
      </c>
      <c r="J9" s="125" t="e">
        <f>SUM('planning '!#REF!)</f>
        <v>#REF!</v>
      </c>
      <c r="L9" s="182">
        <f t="shared" si="0"/>
        <v>5</v>
      </c>
      <c r="M9" s="180" t="s">
        <v>35</v>
      </c>
      <c r="N9" s="181" cm="1">
        <f t="array" ref="N9">SUM(IFERROR((
MONTH('planning '!E:E)=Bilan!L9)*'planning '!L:L,
0))</f>
        <v>8.5097222222222211</v>
      </c>
      <c r="P9" s="201"/>
      <c r="Q9" s="193" t="s">
        <v>56</v>
      </c>
      <c r="R9" s="197">
        <f>SUM('planning '!AE46+'planning '!AE66+'planning '!AE76+'planning '!AE86+'planning '!AE96+'planning '!AE106+'planning '!AE116+'planning '!AE126+'planning '!AE136+'planning '!AE146+'planning '!AE156+'planning '!AE166+'planning '!AE176+'planning '!AE186+'planning '!AE196+'planning '!AE206+'planning '!AE216+'planning '!AE226+'planning '!AE236+'planning '!AE246+'planning '!AE256+'planning '!AE266+'planning '!AE276+'planning '!AE286+'planning '!AE296+'planning '!AE306+'planning '!AE316+'planning '!AE326+'planning '!AE336+'planning '!AE346+'planning '!AE356+'planning '!AE366+'planning '!AE376+'planning '!AE386+'planning '!AE396+'planning '!AE406+'planning '!AE416+'planning '!AE426+'planning '!AE436+'planning '!AE446+'planning '!AE456+'planning '!AE466+'planning '!AE476+'planning '!AE486+'planning '!AE496+'planning '!AE506+'planning '!AE516+'planning '!AE526)</f>
        <v>1</v>
      </c>
    </row>
    <row r="10" spans="1:22" x14ac:dyDescent="0.25">
      <c r="B10" s="75" t="s">
        <v>27</v>
      </c>
      <c r="C10" s="73">
        <f>COUNTIF('planning '!$F$5:$F$526,B10)</f>
        <v>0</v>
      </c>
      <c r="D10" s="76">
        <f>C10*ref!E$5</f>
        <v>0</v>
      </c>
      <c r="E10" s="256"/>
      <c r="I10" s="123" t="s">
        <v>87</v>
      </c>
      <c r="J10" s="125" t="e">
        <f>SUM('planning '!#REF!)</f>
        <v>#REF!</v>
      </c>
      <c r="L10" s="182">
        <f t="shared" si="0"/>
        <v>6</v>
      </c>
      <c r="M10" s="180" t="s">
        <v>36</v>
      </c>
      <c r="N10" s="181" cm="1">
        <f t="array" ref="N10">SUM(IFERROR((
MONTH('planning '!E:E)=Bilan!L10)*'planning '!L:L,
0))</f>
        <v>7.6097222222222225</v>
      </c>
      <c r="P10" s="204"/>
      <c r="Q10" s="198" t="s">
        <v>55</v>
      </c>
      <c r="R10" s="199">
        <f>'planning '!AE11+'planning '!AE21+'planning '!AE31+'planning '!AE41+'planning '!AE51+'planning '!AE61+'planning '!AE71+'planning '!AE81+'planning '!AE91+'planning '!AE111+'planning '!AE121+'planning '!AE131+'planning '!AE141+'planning '!AE151+'planning '!AE161+'planning '!AE171+'planning '!AE181+'planning '!AE191+'planning '!AE201+'planning '!AE211+'planning '!AE221+'planning '!AE231+'planning '!AE241+'planning '!AE251+'planning '!AE261+'planning '!AE271+'planning '!AE281+'planning '!AE291+'planning '!AE301+'planning '!AE311+'planning '!AE321+'planning '!AE331+'planning '!AE341+'planning '!AE351+'planning '!AE361+'planning '!AE371+'planning '!AE381+'planning '!AE391+'planning '!AE401+'planning '!AE411+'planning '!AE421+'planning '!AE431+'planning '!AE441+'planning '!AE451+'planning '!AE461+'planning '!AE471+'planning '!AE481+'planning '!AE491+'planning '!AE501+'planning '!AE511+'planning '!AE521+'planning '!AE531</f>
        <v>1.7041666666666657</v>
      </c>
    </row>
    <row r="11" spans="1:22" x14ac:dyDescent="0.25">
      <c r="B11" s="75" t="s">
        <v>108</v>
      </c>
      <c r="C11" s="73">
        <f>COUNTIF('planning '!$F$5:$F$526,B11)</f>
        <v>1</v>
      </c>
      <c r="D11" s="76">
        <f>C11*ref!E$5</f>
        <v>0.29166666666666669</v>
      </c>
      <c r="E11" s="256"/>
      <c r="L11" s="182">
        <f t="shared" si="0"/>
        <v>7</v>
      </c>
      <c r="M11" s="180" t="s">
        <v>37</v>
      </c>
      <c r="N11" s="181" cm="1">
        <f t="array" ref="N11">SUM(IFERROR((
MONTH('planning '!E:E)=Bilan!L11)*'planning '!L:L,
0))</f>
        <v>6.9347222222222245</v>
      </c>
      <c r="P11" s="44"/>
      <c r="Q11" s="200" t="s">
        <v>66</v>
      </c>
      <c r="R11" s="13">
        <f>SUM('planning '!AL5:AL530)</f>
        <v>0.13541666667151725</v>
      </c>
    </row>
    <row r="12" spans="1:22" ht="15" customHeight="1" x14ac:dyDescent="0.25">
      <c r="B12" s="75" t="s">
        <v>65</v>
      </c>
      <c r="C12" s="73">
        <f>COUNTIF('planning '!$F$5:$F$526,B12)</f>
        <v>0</v>
      </c>
      <c r="D12" s="76">
        <f>C12*ref!E$5</f>
        <v>0</v>
      </c>
      <c r="E12" s="256"/>
      <c r="L12" s="182">
        <f t="shared" si="0"/>
        <v>8</v>
      </c>
      <c r="M12" s="180" t="s">
        <v>38</v>
      </c>
      <c r="N12" s="181" cm="1">
        <f t="array" ref="N12">SUM(IFERROR((
MONTH('planning '!E:E)=Bilan!L12)*'planning '!L:L,
0))</f>
        <v>5.8333333333333348</v>
      </c>
      <c r="P12" s="201"/>
      <c r="Q12" s="193" t="s">
        <v>4</v>
      </c>
      <c r="R12" s="194"/>
    </row>
    <row r="13" spans="1:22" ht="15" customHeight="1" x14ac:dyDescent="0.25">
      <c r="B13" s="75" t="s">
        <v>60</v>
      </c>
      <c r="C13" s="73">
        <f>COUNTIF('planning '!$F$5:$F$526,B13)</f>
        <v>10</v>
      </c>
      <c r="D13" s="76">
        <f>C13*ref!E$5</f>
        <v>2.916666666666667</v>
      </c>
      <c r="E13" s="256"/>
      <c r="L13" s="182">
        <f t="shared" si="0"/>
        <v>9</v>
      </c>
      <c r="M13" s="180" t="s">
        <v>39</v>
      </c>
      <c r="N13" s="181" cm="1">
        <f t="array" ref="N13">SUM(IFERROR((
MONTH('planning '!E:E)=Bilan!L13)*'planning '!L:L,
0))</f>
        <v>6.1250000000000044</v>
      </c>
    </row>
    <row r="14" spans="1:22" x14ac:dyDescent="0.25">
      <c r="A14" s="42"/>
      <c r="B14" s="73" t="s">
        <v>22</v>
      </c>
      <c r="C14" s="75">
        <f>COUNTIF('planning '!$F$5:$F$526,B14)</f>
        <v>12</v>
      </c>
      <c r="D14" s="76">
        <f>C14*ref!E$5</f>
        <v>3.5</v>
      </c>
      <c r="E14" s="257"/>
      <c r="L14" s="182">
        <f t="shared" si="0"/>
        <v>10</v>
      </c>
      <c r="M14" s="180" t="s">
        <v>40</v>
      </c>
      <c r="N14" s="181" cm="1">
        <f t="array" ref="N14">SUM(IFERROR((
MONTH('planning '!E:E)=Bilan!L14)*'planning '!L:L,
0))</f>
        <v>5.2500000000000036</v>
      </c>
    </row>
    <row r="15" spans="1:22" x14ac:dyDescent="0.25">
      <c r="B15" s="75" t="s">
        <v>19</v>
      </c>
      <c r="C15" s="75">
        <f>COUNTIF('planning '!$F$5:$F$526,B15)</f>
        <v>107</v>
      </c>
      <c r="L15" s="182">
        <f t="shared" si="0"/>
        <v>11</v>
      </c>
      <c r="M15" s="180" t="s">
        <v>41</v>
      </c>
      <c r="N15" s="181" cm="1">
        <f t="array" ref="N15">SUM(IFERROR((
MONTH('planning '!E:E)=Bilan!L15)*'planning '!L:L,
0))</f>
        <v>6.1250000000000044</v>
      </c>
    </row>
    <row r="16" spans="1:22" x14ac:dyDescent="0.25">
      <c r="A16" s="41"/>
      <c r="L16" s="182">
        <f t="shared" si="0"/>
        <v>12</v>
      </c>
      <c r="M16" s="180" t="s">
        <v>42</v>
      </c>
      <c r="N16" s="181" cm="1">
        <f t="array" ref="N16">SUM(IFERROR((
MONTH('planning '!E:E)=Bilan!L16)*'planning '!L:L,
0))</f>
        <v>6.4166666666666714</v>
      </c>
    </row>
    <row r="17" spans="2:13" x14ac:dyDescent="0.25">
      <c r="B17" s="258" t="s">
        <v>122</v>
      </c>
      <c r="C17" s="259">
        <f>SUM(C5:C15)</f>
        <v>366</v>
      </c>
      <c r="M17" s="22"/>
    </row>
    <row r="28" spans="2:13" x14ac:dyDescent="0.25">
      <c r="I28" s="183"/>
    </row>
    <row r="30" spans="2:13" x14ac:dyDescent="0.25">
      <c r="I30" s="183"/>
    </row>
    <row r="41" spans="4:4" x14ac:dyDescent="0.25">
      <c r="D41" s="104"/>
    </row>
    <row r="42" spans="4:4" x14ac:dyDescent="0.25">
      <c r="D42" s="104"/>
    </row>
    <row r="43" spans="4:4" x14ac:dyDescent="0.25">
      <c r="D43" s="104"/>
    </row>
    <row r="44" spans="4:4" x14ac:dyDescent="0.25">
      <c r="D44" s="104"/>
    </row>
    <row r="45" spans="4:4" x14ac:dyDescent="0.25">
      <c r="D45" s="104"/>
    </row>
    <row r="46" spans="4:4" x14ac:dyDescent="0.25">
      <c r="D46" s="104"/>
    </row>
    <row r="47" spans="4:4" x14ac:dyDescent="0.25">
      <c r="D47" s="104"/>
    </row>
    <row r="48" spans="4:4" x14ac:dyDescent="0.25">
      <c r="D48" s="104"/>
    </row>
    <row r="49" spans="4:4" x14ac:dyDescent="0.25">
      <c r="D49" s="104"/>
    </row>
    <row r="50" spans="4:4" x14ac:dyDescent="0.25">
      <c r="D50" s="10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T537"/>
  <sheetViews>
    <sheetView topLeftCell="A4" zoomScale="75" zoomScaleNormal="75" workbookViewId="0">
      <selection activeCell="Y23" sqref="Y23"/>
    </sheetView>
  </sheetViews>
  <sheetFormatPr baseColWidth="10" defaultColWidth="11.5703125" defaultRowHeight="15" x14ac:dyDescent="0.25"/>
  <cols>
    <col min="1" max="1" width="2.5703125" style="2" customWidth="1"/>
    <col min="2" max="2" width="7.7109375" style="2" customWidth="1"/>
    <col min="3" max="3" width="11.42578125" style="2" customWidth="1"/>
    <col min="4" max="4" width="19.140625" style="2" customWidth="1"/>
    <col min="5" max="5" width="19.7109375" style="2" customWidth="1"/>
    <col min="6" max="6" width="28.42578125" style="2" customWidth="1"/>
    <col min="7" max="7" width="19.42578125" style="2" customWidth="1"/>
    <col min="8" max="10" width="7.7109375" style="2" customWidth="1"/>
    <col min="11" max="11" width="21.7109375" style="2" customWidth="1"/>
    <col min="12" max="12" width="12.140625" style="2" customWidth="1"/>
    <col min="13" max="13" width="6.7109375" style="2" customWidth="1"/>
    <col min="14" max="14" width="11.42578125" style="107" customWidth="1"/>
    <col min="15" max="15" width="7.5703125" style="2" customWidth="1"/>
    <col min="16" max="16" width="6.7109375" style="2" customWidth="1"/>
    <col min="17" max="17" width="13.140625" style="2" customWidth="1"/>
    <col min="18" max="18" width="5.7109375" customWidth="1"/>
    <col min="19" max="23" width="8.7109375" style="2" customWidth="1"/>
    <col min="24" max="24" width="8.7109375" customWidth="1"/>
    <col min="25" max="26" width="8.7109375" style="2" customWidth="1"/>
    <col min="27" max="28" width="8.7109375" style="107" customWidth="1"/>
    <col min="29" max="29" width="13.85546875" style="107" customWidth="1"/>
    <col min="30" max="30" width="7.7109375" style="107" customWidth="1"/>
    <col min="31" max="31" width="17.140625" style="2" customWidth="1"/>
    <col min="32" max="32" width="11.5703125" style="2" customWidth="1"/>
    <col min="33" max="33" width="2.85546875" style="2" customWidth="1"/>
    <col min="34" max="35" width="5.7109375" style="2" customWidth="1"/>
    <col min="36" max="36" width="5.7109375" style="1" customWidth="1"/>
    <col min="37" max="37" width="8.5703125" style="2" customWidth="1"/>
    <col min="38" max="38" width="6.85546875" style="2" customWidth="1"/>
    <col min="39" max="39" width="5" customWidth="1"/>
    <col min="40" max="40" width="13.7109375" customWidth="1"/>
    <col min="41" max="42" width="13.7109375" style="2" customWidth="1"/>
    <col min="43" max="16384" width="11.5703125" style="2"/>
  </cols>
  <sheetData>
    <row r="1" spans="2:46" x14ac:dyDescent="0.25">
      <c r="AS1"/>
      <c r="AT1"/>
    </row>
    <row r="2" spans="2:46" ht="30" x14ac:dyDescent="0.4">
      <c r="S2" s="147"/>
      <c r="T2" s="148"/>
      <c r="U2" s="153" t="s">
        <v>92</v>
      </c>
      <c r="V2" s="148"/>
      <c r="W2" s="149"/>
      <c r="X2" s="150"/>
      <c r="Y2" s="151"/>
      <c r="Z2" s="153" t="s">
        <v>119</v>
      </c>
      <c r="AA2" s="120"/>
      <c r="AB2" s="152"/>
      <c r="AC2" s="242" t="s">
        <v>113</v>
      </c>
      <c r="AQ2"/>
    </row>
    <row r="3" spans="2:46" x14ac:dyDescent="0.25">
      <c r="E3" s="11" t="s">
        <v>2</v>
      </c>
      <c r="F3" s="12" t="s">
        <v>64</v>
      </c>
      <c r="G3" s="121"/>
      <c r="H3" s="9" t="s">
        <v>17</v>
      </c>
      <c r="I3" s="58" t="s">
        <v>0</v>
      </c>
      <c r="J3" s="10" t="s">
        <v>16</v>
      </c>
      <c r="K3" s="122"/>
      <c r="L3" s="59" t="s">
        <v>78</v>
      </c>
      <c r="M3" s="45" t="s">
        <v>30</v>
      </c>
      <c r="N3" s="251" t="s">
        <v>120</v>
      </c>
      <c r="O3" s="10" t="s">
        <v>28</v>
      </c>
      <c r="P3" s="45" t="s">
        <v>30</v>
      </c>
      <c r="Q3" s="11" t="s">
        <v>45</v>
      </c>
      <c r="S3" s="144" t="s">
        <v>97</v>
      </c>
      <c r="T3" s="132" t="s">
        <v>93</v>
      </c>
      <c r="U3" s="131" t="s">
        <v>94</v>
      </c>
      <c r="V3" s="145" t="s">
        <v>54</v>
      </c>
      <c r="W3" s="146" t="s">
        <v>30</v>
      </c>
      <c r="X3" s="131" t="s">
        <v>96</v>
      </c>
      <c r="Y3" s="132" t="s">
        <v>93</v>
      </c>
      <c r="Z3" s="131" t="s">
        <v>95</v>
      </c>
      <c r="AA3" s="133" t="s">
        <v>54</v>
      </c>
      <c r="AB3" s="134" t="s">
        <v>30</v>
      </c>
      <c r="AC3" s="131"/>
      <c r="AD3" s="105"/>
      <c r="AE3" s="174"/>
      <c r="AF3" s="175" t="s">
        <v>110</v>
      </c>
      <c r="AH3" s="57" t="s">
        <v>67</v>
      </c>
      <c r="AI3" s="53"/>
      <c r="AJ3" s="53"/>
      <c r="AK3" s="52"/>
      <c r="AL3" s="56" t="s">
        <v>43</v>
      </c>
      <c r="AQ3"/>
    </row>
    <row r="4" spans="2:46" ht="15.75" thickBot="1" x14ac:dyDescent="0.3">
      <c r="B4"/>
      <c r="C4"/>
      <c r="D4"/>
      <c r="AA4" s="2"/>
      <c r="AB4" s="2"/>
      <c r="AC4" s="127"/>
      <c r="AE4" s="22"/>
      <c r="AF4" s="26"/>
      <c r="AG4" s="19"/>
      <c r="AH4" s="50"/>
      <c r="AI4" s="51"/>
      <c r="AJ4" s="51"/>
      <c r="AK4" s="49"/>
      <c r="AL4"/>
      <c r="AQ4"/>
    </row>
    <row r="5" spans="2:46" x14ac:dyDescent="0.25">
      <c r="B5" s="78" t="s">
        <v>1</v>
      </c>
      <c r="C5" s="82" t="s">
        <v>90</v>
      </c>
      <c r="D5" s="188"/>
      <c r="E5" s="154">
        <f>DATE(ref!E$2,B$9,B$7)</f>
        <v>43830</v>
      </c>
      <c r="F5" s="158" t="s">
        <v>26</v>
      </c>
      <c r="G5" s="155" t="str">
        <f t="shared" ref="G5:G11" si="0">IF(AND(J5="",H5=""),"",E5+H5)</f>
        <v/>
      </c>
      <c r="H5" s="29"/>
      <c r="I5" s="23">
        <f>SUM(V5+AA5+AC5)</f>
        <v>0</v>
      </c>
      <c r="J5" s="29"/>
      <c r="K5" s="46" t="str">
        <f t="shared" ref="K5:K11" si="1">IF(AND(H5="",J5=""),"",E5+J5+(H5&gt;J5))</f>
        <v/>
      </c>
      <c r="L5" s="21">
        <f>IF(OR(F5="télétravail",F5="férié travaillé",F5="travail"),(J5-H5+IF(H5&gt;J5,1)-I5),INDEX(ref!$E$22:'ref'!$E$37,MATCH(F5,gerald3,0)))</f>
        <v>0.29166666666666669</v>
      </c>
      <c r="M5" s="13">
        <f>IF(SUM(L5-ref!E$8)&lt;0,0,SUM(L5-ref!E$8))</f>
        <v>0</v>
      </c>
      <c r="N5" s="252">
        <f>L5-(hs!D4+hs!F4+hs!H4+hs!J4)</f>
        <v>0.29166666666666669</v>
      </c>
      <c r="O5" s="8">
        <f>IF(OR(F5="férié travaillé",F5="travail",F5="asa",F5="rtt"),J5-H5+IF(H5&gt;J5,1),INDEX(ref!$E$22:'ref'!$E$37,MATCH(F5,gerald2,0)))</f>
        <v>0.29166666666666669</v>
      </c>
      <c r="P5" s="14">
        <f>IF(SUM(O5-ref!E$4)&lt;0,0,SUM(O5-ref!E$4))</f>
        <v>0</v>
      </c>
      <c r="Q5" s="21">
        <f>L5</f>
        <v>0.29166666666666669</v>
      </c>
      <c r="S5" s="136"/>
      <c r="T5" s="92"/>
      <c r="U5" s="129"/>
      <c r="V5" s="142">
        <f>U5-T5</f>
        <v>0</v>
      </c>
      <c r="W5" s="141" t="str">
        <f>IF(V5="","",IF(SUM(V5-ref!E$38)&gt;0,0,IF(V5=0, "0:00", SUM(V5-ref!E$38))))</f>
        <v>0:00</v>
      </c>
      <c r="X5" s="136"/>
      <c r="Y5" s="92"/>
      <c r="Z5" s="129"/>
      <c r="AA5" s="142">
        <f>Z5-Y5</f>
        <v>0</v>
      </c>
      <c r="AB5" s="244" t="str">
        <f>IF(AA5="","",IF(SUM(AA5-ref!E$38)&gt;0,0,IF(AA5=0, "0:00", SUM(AA5-ref!E$38))))</f>
        <v>0:00</v>
      </c>
      <c r="AC5" s="29"/>
      <c r="AD5" s="106"/>
      <c r="AE5" s="111">
        <f>SUM(AF5:AF11)</f>
        <v>5</v>
      </c>
      <c r="AF5" s="77">
        <f t="shared" ref="AF5:AF11" si="2">IF(AND(H5&lt;&gt;"",J5&lt;&gt;""),1,0+OR(N(J4)&lt;N(H4),F5="récupération",F5="congé 1 jour",F5="congé 1/2 jour ",F5="congé 5h24",F5="arrêt maladie",F5="arrêt travail",F5="férié ",F5="congé parentale",F5="congé de naissance"))</f>
        <v>1</v>
      </c>
      <c r="AG5" s="19"/>
      <c r="AH5" s="176" t="s">
        <v>71</v>
      </c>
      <c r="AI5" s="54" t="s">
        <v>68</v>
      </c>
      <c r="AJ5" s="177" t="s">
        <v>72</v>
      </c>
      <c r="AK5" s="55" t="str" cm="1">
        <f t="array" ref="AK5">IF(ISNUMBER(G6),G6-_xlfn.AGGREGATE(14,6,(K$4:K5&lt;G6)*K$4:K5,1),"")</f>
        <v/>
      </c>
      <c r="AL5" s="20" t="str">
        <f>IF(ISNUMBER(AK5),ABS(IF(SUM(AK5-ref!E$9)&gt;0,0,SUM(AK5-ref!E$9))),"")</f>
        <v/>
      </c>
      <c r="AQ5"/>
    </row>
    <row r="6" spans="2:46" x14ac:dyDescent="0.25">
      <c r="B6" s="79" t="s">
        <v>1</v>
      </c>
      <c r="C6" s="82" t="s">
        <v>90</v>
      </c>
      <c r="D6" s="85"/>
      <c r="E6" s="154">
        <f>E5+1</f>
        <v>43831</v>
      </c>
      <c r="F6" s="159" t="s">
        <v>21</v>
      </c>
      <c r="G6" s="155" t="str">
        <f t="shared" si="0"/>
        <v/>
      </c>
      <c r="H6" s="29"/>
      <c r="I6" s="23">
        <f t="shared" ref="I6:I11" si="3">SUM(V6+AA6+AC6)</f>
        <v>0</v>
      </c>
      <c r="J6" s="29"/>
      <c r="K6" s="46" t="str">
        <f t="shared" si="1"/>
        <v/>
      </c>
      <c r="L6" s="21">
        <f>IF(OR(F6="télétravail",F6="férié travaillé",F6="travail"),(J6-H6+IF(H6&gt;J6,1)-I6),INDEX(ref!$E$22:'ref'!$E$37,MATCH(F6,gerald3,0)))</f>
        <v>0.29166666666666669</v>
      </c>
      <c r="M6" s="13">
        <f>IF(SUM(L6-ref!E$8)&lt;0,0,SUM(L6-ref!E$8))</f>
        <v>0</v>
      </c>
      <c r="N6" s="252">
        <f>L6-(hs!D5+hs!F5+hs!H5+hs!J5)</f>
        <v>0.29166666666666669</v>
      </c>
      <c r="O6" s="8">
        <f>IF(OR(F6="férié travaillé",F6="travail",F6="asa",F6="rtt"),J6-H6+IF(H6&gt;J6,1),INDEX(ref!$E$22:'ref'!$E$37,MATCH(F6,gerald2,0)))</f>
        <v>0.29166666666666669</v>
      </c>
      <c r="P6" s="14">
        <f>IF(SUM(O6-ref!E$4)&lt;0,0,SUM(O6-ref!E$4))</f>
        <v>0</v>
      </c>
      <c r="Q6" s="24">
        <f t="shared" ref="Q6:Q11" si="4">Q5+L6</f>
        <v>0.58333333333333337</v>
      </c>
      <c r="S6" s="137"/>
      <c r="T6" s="92"/>
      <c r="U6" s="129"/>
      <c r="V6" s="142">
        <f t="shared" ref="V6:V9" si="5">U6-T6</f>
        <v>0</v>
      </c>
      <c r="W6" s="141" t="str">
        <f>IF(V6="","",IF(SUM(V6-ref!E$38)&gt;0,0,IF(V6=0, "0:00", SUM(V6-ref!E$38))))</f>
        <v>0:00</v>
      </c>
      <c r="X6" s="137"/>
      <c r="Y6" s="92"/>
      <c r="Z6" s="129"/>
      <c r="AA6" s="142">
        <f t="shared" ref="AA6:AA9" si="6">Z6-Y6</f>
        <v>0</v>
      </c>
      <c r="AB6" s="245" t="str">
        <f>IF(AA6="","",IF(SUM(AA6-ref!E$38)&gt;0,0,IF(AA6=0, "0:00", SUM(AA6-ref!E$38))))</f>
        <v>0:00</v>
      </c>
      <c r="AC6" s="29"/>
      <c r="AD6" s="106"/>
      <c r="AE6" s="112">
        <f>IF(SUM(AE5-ref!E$7)&lt;0,0,SUM(AE5-ref!E$7))</f>
        <v>0</v>
      </c>
      <c r="AF6" s="77">
        <f t="shared" si="2"/>
        <v>1</v>
      </c>
      <c r="AG6" s="19"/>
      <c r="AH6" s="178" t="s">
        <v>72</v>
      </c>
      <c r="AI6" s="54" t="s">
        <v>68</v>
      </c>
      <c r="AJ6" s="177" t="s">
        <v>73</v>
      </c>
      <c r="AK6" s="55" t="str" cm="1">
        <f t="array" ref="AK6">IF(ISNUMBER(G7),G7-_xlfn.AGGREGATE(14,6,(K$4:K6&lt;G7)*K$4:K6,1),"")</f>
        <v/>
      </c>
      <c r="AL6" s="20" t="str">
        <f>IF(ISNUMBER(AK6),ABS(IF(SUM(AK6-ref!E$9)&gt;0,0,SUM(AK6-ref!E$9))),"")</f>
        <v/>
      </c>
      <c r="AQ6"/>
    </row>
    <row r="7" spans="2:46" x14ac:dyDescent="0.25">
      <c r="B7" s="80">
        <v>1</v>
      </c>
      <c r="C7" s="82" t="s">
        <v>90</v>
      </c>
      <c r="D7" s="85"/>
      <c r="E7" s="154">
        <f t="shared" ref="E7:E11" si="7">E6+1</f>
        <v>43832</v>
      </c>
      <c r="F7" s="159" t="s">
        <v>21</v>
      </c>
      <c r="G7" s="155" t="str">
        <f t="shared" si="0"/>
        <v/>
      </c>
      <c r="H7" s="29"/>
      <c r="I7" s="23">
        <f t="shared" si="3"/>
        <v>0</v>
      </c>
      <c r="J7" s="29"/>
      <c r="K7" s="46" t="str">
        <f t="shared" si="1"/>
        <v/>
      </c>
      <c r="L7" s="21">
        <f>IF(OR(F7="télétravail",F7="férié travaillé",F7="travail"),(J7-H7+IF(H7&gt;J7,1)-I7),INDEX(ref!$E$22:'ref'!$E$37,MATCH(F7,gerald3,0)))</f>
        <v>0.29166666666666669</v>
      </c>
      <c r="M7" s="13">
        <f>IF(SUM(L7-ref!E$8)&lt;0,0,SUM(L7-ref!E$8))</f>
        <v>0</v>
      </c>
      <c r="N7" s="252">
        <f>L7-(hs!D6+hs!F6+hs!H6+hs!J6)</f>
        <v>0.29166666666666669</v>
      </c>
      <c r="O7" s="8">
        <f>IF(OR(F7="férié travaillé",F7="travail",F7="asa",F7="rtt"),J7-H7+IF(H7&gt;J7,1),INDEX(ref!$E$22:'ref'!$E$37,MATCH(F7,gerald2,0)))</f>
        <v>0.29166666666666669</v>
      </c>
      <c r="P7" s="14">
        <f>IF(SUM(O7-ref!E$4)&lt;0,0,SUM(O7-ref!E$4))</f>
        <v>0</v>
      </c>
      <c r="Q7" s="24">
        <f t="shared" si="4"/>
        <v>0.875</v>
      </c>
      <c r="S7" s="137"/>
      <c r="T7" s="92"/>
      <c r="U7" s="129"/>
      <c r="V7" s="142">
        <f t="shared" si="5"/>
        <v>0</v>
      </c>
      <c r="W7" s="141" t="str">
        <f>IF(V7="","",IF(SUM(V7-ref!E$38)&gt;0,0,IF(V7=0, "0:00", SUM(V7-ref!E$38))))</f>
        <v>0:00</v>
      </c>
      <c r="X7" s="137"/>
      <c r="Y7" s="92"/>
      <c r="Z7" s="129"/>
      <c r="AA7" s="142">
        <f t="shared" si="6"/>
        <v>0</v>
      </c>
      <c r="AB7" s="245" t="str">
        <f>IF(AA7="","",IF(SUM(AA7-ref!E$38)&gt;0,0,IF(AA7=0, "0:00", SUM(AA7-ref!E$38))))</f>
        <v>0:00</v>
      </c>
      <c r="AC7" s="29"/>
      <c r="AD7" s="106"/>
      <c r="AE7" s="113" t="s">
        <v>29</v>
      </c>
      <c r="AF7" s="77">
        <f t="shared" si="2"/>
        <v>1</v>
      </c>
      <c r="AG7" s="19"/>
      <c r="AH7" s="178" t="s">
        <v>73</v>
      </c>
      <c r="AI7" s="54" t="s">
        <v>68</v>
      </c>
      <c r="AJ7" s="177" t="s">
        <v>74</v>
      </c>
      <c r="AK7" s="55" t="str" cm="1">
        <f t="array" ref="AK7">IF(ISNUMBER(G8),G8-_xlfn.AGGREGATE(14,6,(K$4:K7&lt;G8)*K$4:K7,1),"")</f>
        <v/>
      </c>
      <c r="AL7" s="20" t="str">
        <f>IF(ISNUMBER(AK7),ABS(IF(SUM(AK7-ref!E$9)&gt;0,0,SUM(AK7-ref!E$9))),"")</f>
        <v/>
      </c>
      <c r="AQ7"/>
    </row>
    <row r="8" spans="2:46" x14ac:dyDescent="0.25">
      <c r="B8" s="79" t="s">
        <v>58</v>
      </c>
      <c r="C8" s="82" t="s">
        <v>90</v>
      </c>
      <c r="D8" s="85"/>
      <c r="E8" s="154">
        <f t="shared" si="7"/>
        <v>43833</v>
      </c>
      <c r="F8" s="159" t="s">
        <v>21</v>
      </c>
      <c r="G8" s="155" t="str">
        <f t="shared" si="0"/>
        <v/>
      </c>
      <c r="H8" s="29"/>
      <c r="I8" s="23">
        <f t="shared" si="3"/>
        <v>0</v>
      </c>
      <c r="J8" s="29"/>
      <c r="K8" s="46" t="str">
        <f t="shared" si="1"/>
        <v/>
      </c>
      <c r="L8" s="21">
        <f>IF(OR(F8="télétravail",F8="férié travaillé",F8="travail"),(J8-H8+IF(H8&gt;J8,1)-I8),INDEX(ref!$E$22:'ref'!$E$37,MATCH(F8,gerald3,0)))</f>
        <v>0.29166666666666669</v>
      </c>
      <c r="M8" s="13">
        <f>IF(SUM(L8-ref!E$8)&lt;0,0,SUM(L8-ref!E$8))</f>
        <v>0</v>
      </c>
      <c r="N8" s="252">
        <f>L8-(hs!D7+hs!F7+hs!H7+hs!J7)</f>
        <v>0.29166666666666669</v>
      </c>
      <c r="O8" s="8">
        <f>IF(OR(F8="férié travaillé",F8="travail",F8="asa",F8="rtt"),J8-H8+IF(H8&gt;J8,1),INDEX(ref!$E$22:'ref'!$E$37,MATCH(F8,gerald2,0)))</f>
        <v>0.29166666666666669</v>
      </c>
      <c r="P8" s="14">
        <f>IF(SUM(O8-ref!E$4)&lt;0,0,SUM(O8-ref!E$4))</f>
        <v>0</v>
      </c>
      <c r="Q8" s="93">
        <f t="shared" si="4"/>
        <v>1.1666666666666667</v>
      </c>
      <c r="S8" s="137"/>
      <c r="T8" s="92"/>
      <c r="U8" s="129"/>
      <c r="V8" s="142">
        <f t="shared" si="5"/>
        <v>0</v>
      </c>
      <c r="W8" s="141" t="str">
        <f>IF(V8="","",IF(SUM(V8-ref!E$38)&gt;0,0,IF(V8=0, "0:00", SUM(V8-ref!E$38))))</f>
        <v>0:00</v>
      </c>
      <c r="X8" s="137"/>
      <c r="Y8" s="92"/>
      <c r="Z8" s="129"/>
      <c r="AA8" s="142">
        <f t="shared" si="6"/>
        <v>0</v>
      </c>
      <c r="AB8" s="245" t="str">
        <f>IF(AA8="","",IF(SUM(AA8-ref!E$38)&gt;0,0,IF(AA8=0, "0:00", SUM(AA8-ref!E$38))))</f>
        <v>0:00</v>
      </c>
      <c r="AC8" s="29"/>
      <c r="AD8" s="106"/>
      <c r="AE8" s="114">
        <f>Q11</f>
        <v>1.4583333333333335</v>
      </c>
      <c r="AF8" s="77">
        <f t="shared" si="2"/>
        <v>1</v>
      </c>
      <c r="AG8" s="19"/>
      <c r="AH8" s="178" t="s">
        <v>74</v>
      </c>
      <c r="AI8" s="54" t="s">
        <v>68</v>
      </c>
      <c r="AJ8" s="177" t="s">
        <v>75</v>
      </c>
      <c r="AK8" s="55" t="str" cm="1">
        <f t="array" ref="AK8">IF(ISNUMBER(G9),G9-_xlfn.AGGREGATE(14,6,(K$4:K8&lt;G9)*K$4:K8,1),"")</f>
        <v/>
      </c>
      <c r="AL8" s="20" t="str">
        <f>IF(ISNUMBER(AK8),ABS(IF(SUM(AK8-ref!E$9)&gt;0,0,SUM(AK8-ref!E$9))),"")</f>
        <v/>
      </c>
      <c r="AQ8"/>
    </row>
    <row r="9" spans="2:46" x14ac:dyDescent="0.25">
      <c r="B9" s="81">
        <v>1</v>
      </c>
      <c r="C9" s="83" t="s">
        <v>90</v>
      </c>
      <c r="D9" s="86"/>
      <c r="E9" s="154">
        <f t="shared" si="7"/>
        <v>43834</v>
      </c>
      <c r="F9" s="159" t="s">
        <v>21</v>
      </c>
      <c r="G9" s="155" t="str">
        <f t="shared" si="0"/>
        <v/>
      </c>
      <c r="H9" s="29"/>
      <c r="I9" s="23">
        <f t="shared" si="3"/>
        <v>0</v>
      </c>
      <c r="J9" s="29"/>
      <c r="K9" s="46" t="str">
        <f t="shared" si="1"/>
        <v/>
      </c>
      <c r="L9" s="21">
        <f>IF(OR(F9="télétravail",F9="férié travaillé",F9="travail"),(J9-H9+IF(H9&gt;J9,1)-I9),INDEX(ref!$E$22:'ref'!$E$37,MATCH(F9,gerald3,0)))</f>
        <v>0.29166666666666669</v>
      </c>
      <c r="M9" s="13">
        <f>IF(SUM(L9-ref!E$8)&lt;0,0,SUM(L9-ref!E$8))</f>
        <v>0</v>
      </c>
      <c r="N9" s="252">
        <f>L9-(hs!D8+hs!F8+hs!H8+hs!J8)</f>
        <v>0.29166666666666669</v>
      </c>
      <c r="O9" s="8">
        <f>IF(OR(F9="férié travaillé",F9="travail",F9="asa",F9="rtt"),J9-H9+IF(H9&gt;J9,1),INDEX(ref!$E$22:'ref'!$E$37,MATCH(F9,gerald2,0)))</f>
        <v>0.29166666666666669</v>
      </c>
      <c r="P9" s="14">
        <f>IF(SUM(O9-ref!E$4)&lt;0,0,SUM(O9-ref!E$4))</f>
        <v>0</v>
      </c>
      <c r="Q9" s="24">
        <f t="shared" si="4"/>
        <v>1.4583333333333335</v>
      </c>
      <c r="S9" s="137"/>
      <c r="T9" s="92"/>
      <c r="U9" s="129"/>
      <c r="V9" s="142">
        <f t="shared" si="5"/>
        <v>0</v>
      </c>
      <c r="W9" s="141" t="str">
        <f>IF(V9="","",IF(SUM(V9-ref!E$38)&gt;0,0,IF(V9=0, "0:00", SUM(V9-ref!E$38))))</f>
        <v>0:00</v>
      </c>
      <c r="X9" s="137"/>
      <c r="Y9" s="92"/>
      <c r="Z9" s="129"/>
      <c r="AA9" s="142">
        <f t="shared" si="6"/>
        <v>0</v>
      </c>
      <c r="AB9" s="245" t="str">
        <f>IF(AA9="","",IF(SUM(AA9-ref!E$38)&gt;0,0,IF(AA9=0, "0:00", SUM(AA9-ref!E$38))))</f>
        <v>0:00</v>
      </c>
      <c r="AC9" s="29"/>
      <c r="AD9" s="106"/>
      <c r="AE9" s="115" t="s">
        <v>47</v>
      </c>
      <c r="AF9" s="77">
        <f t="shared" si="2"/>
        <v>1</v>
      </c>
      <c r="AG9" s="19"/>
      <c r="AH9" s="178" t="s">
        <v>75</v>
      </c>
      <c r="AI9" s="54" t="s">
        <v>68</v>
      </c>
      <c r="AJ9" s="177" t="s">
        <v>76</v>
      </c>
      <c r="AK9" s="55" t="str" cm="1">
        <f t="array" ref="AK9">IF(ISNUMBER(G10),G10-_xlfn.AGGREGATE(14,6,(K$4:K9&lt;G10)*K$4:K9,1),"")</f>
        <v/>
      </c>
      <c r="AL9" s="20" t="str">
        <f>IF(ISNUMBER(AK9),ABS(IF(SUM(AK9-ref!E$9)&gt;0,0,SUM(AK9-ref!E$9))),"")</f>
        <v/>
      </c>
      <c r="AQ9"/>
    </row>
    <row r="10" spans="2:46" ht="15.75" thickBot="1" x14ac:dyDescent="0.3">
      <c r="B10"/>
      <c r="C10" s="84"/>
      <c r="D10" s="84"/>
      <c r="E10" s="154">
        <f t="shared" si="7"/>
        <v>43835</v>
      </c>
      <c r="F10" s="159" t="s">
        <v>19</v>
      </c>
      <c r="G10" s="155" t="str">
        <f t="shared" si="0"/>
        <v/>
      </c>
      <c r="H10" s="29"/>
      <c r="I10" s="23">
        <f t="shared" si="3"/>
        <v>0</v>
      </c>
      <c r="J10" s="29"/>
      <c r="K10" s="46" t="str">
        <f t="shared" si="1"/>
        <v/>
      </c>
      <c r="L10" s="21">
        <f>IF(OR(F10="télétravail",F10="férié travaillé",F10="travail"),(J10-H10+IF(H10&gt;J10,1)-I10),INDEX(ref!$E$22:'ref'!$E$37,MATCH(F10,gerald3,0)))</f>
        <v>0</v>
      </c>
      <c r="M10" s="13">
        <f>IF(SUM(L10-ref!E$8)&lt;0,0,SUM(L10-ref!E$8))</f>
        <v>0</v>
      </c>
      <c r="N10" s="252">
        <f>L10-(hs!D9+hs!F9+hs!H9+hs!J9)</f>
        <v>0</v>
      </c>
      <c r="O10" s="8">
        <f>IF(OR(F10="férié travaillé",F10="travail",F10="asa",F10="rtt"),J10-H10+IF(H10&gt;J10,1),INDEX(ref!$E$22:'ref'!$E$37,MATCH(F10,gerald2,0)))</f>
        <v>0</v>
      </c>
      <c r="P10" s="14">
        <f>IF(SUM(O10-ref!E$4)&lt;0,0,SUM(O10-ref!E$4))</f>
        <v>0</v>
      </c>
      <c r="Q10" s="97">
        <f t="shared" si="4"/>
        <v>1.4583333333333335</v>
      </c>
      <c r="S10" s="137"/>
      <c r="T10" s="92"/>
      <c r="U10" s="129"/>
      <c r="V10" s="142">
        <f>U10-T10</f>
        <v>0</v>
      </c>
      <c r="W10" s="141" t="str">
        <f>IF(V10="","",IF(SUM(V10-ref!E$38)&gt;0,0,IF(V10=0, "0:00", SUM(V10-ref!E$38))))</f>
        <v>0:00</v>
      </c>
      <c r="X10" s="137"/>
      <c r="Y10" s="92"/>
      <c r="Z10" s="129"/>
      <c r="AA10" s="142">
        <f>Z10-Y10</f>
        <v>0</v>
      </c>
      <c r="AB10" s="245" t="str">
        <f>IF(AA10="","",IF(SUM(AA10-ref!E$38)&gt;0,0,IF(AA10=0, "0:00", SUM(AA10-ref!E$38))))</f>
        <v>0:00</v>
      </c>
      <c r="AC10" s="29"/>
      <c r="AD10" s="106"/>
      <c r="AE10" s="116">
        <f>ref!E$11</f>
        <v>2</v>
      </c>
      <c r="AF10" s="77">
        <f t="shared" si="2"/>
        <v>0</v>
      </c>
      <c r="AG10" s="19"/>
      <c r="AH10" s="178" t="s">
        <v>76</v>
      </c>
      <c r="AI10" s="54" t="s">
        <v>68</v>
      </c>
      <c r="AJ10" s="177" t="s">
        <v>77</v>
      </c>
      <c r="AK10" s="55" t="str" cm="1">
        <f t="array" ref="AK10">IF(ISNUMBER(G11),G11-_xlfn.AGGREGATE(14,6,(K$4:K10&lt;G11)*K$4:K10,1),"")</f>
        <v/>
      </c>
      <c r="AL10" s="20" t="str">
        <f>IF(ISNUMBER(AK10),ABS(IF(SUM(AK10-ref!E$9)&gt;0,0,SUM(AK10-ref!E$9))),"")</f>
        <v/>
      </c>
      <c r="AQ10"/>
    </row>
    <row r="11" spans="2:46" ht="15.75" thickBot="1" x14ac:dyDescent="0.3">
      <c r="B11"/>
      <c r="C11" s="84"/>
      <c r="D11" s="84"/>
      <c r="E11" s="154">
        <f t="shared" si="7"/>
        <v>43836</v>
      </c>
      <c r="F11" s="160" t="s">
        <v>19</v>
      </c>
      <c r="G11" s="155" t="str">
        <f t="shared" si="0"/>
        <v/>
      </c>
      <c r="H11" s="29"/>
      <c r="I11" s="23">
        <f t="shared" si="3"/>
        <v>0</v>
      </c>
      <c r="J11" s="29"/>
      <c r="K11" s="46" t="str">
        <f t="shared" si="1"/>
        <v/>
      </c>
      <c r="L11" s="21">
        <f>IF(OR(F11="télétravail",F11="férié travaillé",F11="travail"),(J11-H11+IF(H11&gt;J11,1)-I11),INDEX(ref!$E$22:'ref'!$E$37,MATCH(F11,gerald3,0)))</f>
        <v>0</v>
      </c>
      <c r="M11" s="13">
        <f>IF(SUM(L11-ref!E$8)&lt;0,0,SUM(L11-ref!E$8))</f>
        <v>0</v>
      </c>
      <c r="N11" s="252">
        <f>L11-(hs!D10+hs!F10+hs!H10+hs!J10)</f>
        <v>0</v>
      </c>
      <c r="O11" s="8">
        <f>IF(OR(F11="férié travaillé",F11="travail",F11="asa",F11="rtt"),J11-H11+IF(H11&gt;J11,1),INDEX(ref!$E$22:'ref'!$E$37,MATCH(F11,gerald2,0)))</f>
        <v>0</v>
      </c>
      <c r="P11" s="14">
        <f>IF(SUM(O11-ref!E$4)&lt;0,0,SUM(O11-ref!E$4))</f>
        <v>0</v>
      </c>
      <c r="Q11" s="94">
        <f t="shared" si="4"/>
        <v>1.4583333333333335</v>
      </c>
      <c r="S11" s="138"/>
      <c r="T11" s="92"/>
      <c r="U11" s="129"/>
      <c r="V11" s="142">
        <f>U11-T11</f>
        <v>0</v>
      </c>
      <c r="W11" s="141" t="str">
        <f>IF(V11="","",IF(SUM(V11-ref!E$38)&gt;0,0,IF(V11=0, "0:00", SUM(V11-ref!E$38))))</f>
        <v>0:00</v>
      </c>
      <c r="X11" s="138"/>
      <c r="Y11" s="92"/>
      <c r="Z11" s="129"/>
      <c r="AA11" s="142">
        <f>Z11-Y11</f>
        <v>0</v>
      </c>
      <c r="AB11" s="246" t="str">
        <f>IF(AA11="","",IF(SUM(AA11-ref!E$38)&gt;0,0,IF(AA11=0, "0:00", SUM(AA11-ref!E$38))))</f>
        <v>0:00</v>
      </c>
      <c r="AC11" s="29"/>
      <c r="AD11" s="106"/>
      <c r="AE11" s="110">
        <f>IF(SUM(Q11-ref!E$11)&lt;0,0,SUM(Q11-ref!E$11))</f>
        <v>0</v>
      </c>
      <c r="AF11" s="77">
        <f t="shared" si="2"/>
        <v>0</v>
      </c>
      <c r="AG11" s="19"/>
      <c r="AQ11"/>
    </row>
    <row r="12" spans="2:46" x14ac:dyDescent="0.25">
      <c r="F12" s="157"/>
      <c r="W12" s="74"/>
      <c r="AA12" s="2"/>
      <c r="AB12" s="2"/>
      <c r="AC12" s="127"/>
      <c r="AQ12"/>
    </row>
    <row r="13" spans="2:46" x14ac:dyDescent="0.25">
      <c r="F13" s="157"/>
      <c r="Q13" s="16"/>
      <c r="AA13" s="2"/>
      <c r="AB13" s="2"/>
      <c r="AC13" s="127"/>
      <c r="AQ13"/>
    </row>
    <row r="14" spans="2:46" ht="15.75" thickBot="1" x14ac:dyDescent="0.3">
      <c r="F14" s="157"/>
      <c r="W14" s="74"/>
      <c r="AA14" s="2"/>
      <c r="AB14" s="2"/>
      <c r="AC14" s="127"/>
      <c r="AQ14"/>
    </row>
    <row r="15" spans="2:46" x14ac:dyDescent="0.25">
      <c r="B15" s="78" t="s">
        <v>1</v>
      </c>
      <c r="C15" s="88" t="s">
        <v>20</v>
      </c>
      <c r="D15" s="88"/>
      <c r="E15" s="154">
        <f>DATE(ref!E$2,B19,B17)</f>
        <v>43837</v>
      </c>
      <c r="F15" s="158" t="s">
        <v>20</v>
      </c>
      <c r="G15" s="155">
        <f t="shared" ref="G15:G21" si="8">IF(AND(J15="",H15=""),"",E15+H15)</f>
        <v>43837.375</v>
      </c>
      <c r="H15" s="29">
        <v>0.375</v>
      </c>
      <c r="I15" s="23">
        <f>SUM(V15+AA15+AC15)</f>
        <v>3.4027777777777768E-2</v>
      </c>
      <c r="J15" s="29">
        <v>0.70833333333333337</v>
      </c>
      <c r="K15" s="46">
        <f t="shared" ref="K15:K21" si="9">IF(AND(H15="",J15=""),"",E15+J15+(H15&gt;J15))</f>
        <v>43837.708333333336</v>
      </c>
      <c r="L15" s="21">
        <f>IF(OR(F15="télétravail",F15="férié travaillé",F15="travail"),(J15-H15+IF(H15&gt;J15,1)-I15),INDEX(ref!$E$22:'ref'!$E$37,MATCH(F15,gerald3,0)))</f>
        <v>0.2993055555555556</v>
      </c>
      <c r="M15" s="13">
        <f>IF(SUM(L15-ref!E$8)&lt;0,0,SUM(L15-ref!E$8))</f>
        <v>0</v>
      </c>
      <c r="N15" s="252">
        <f>L15-(hs!D14+hs!F14+hs!H14+hs!J14)</f>
        <v>-3.4027777777777768E-2</v>
      </c>
      <c r="O15" s="8">
        <f>IF(OR(F15="férié travaillé",F15="travail",F15="asa",F15="rtt"),J15-H15+IF(H15&gt;J15,1),INDEX(ref!$E$22:'ref'!$E$37,MATCH(F15,gerald2,0)))</f>
        <v>0.33333333333333337</v>
      </c>
      <c r="P15" s="14">
        <f>IF(SUM(O15-ref!E$4)&lt;0,0,SUM(O15-ref!E$4))</f>
        <v>0</v>
      </c>
      <c r="Q15" s="166">
        <f>L15</f>
        <v>0.2993055555555556</v>
      </c>
      <c r="S15" s="136"/>
      <c r="T15" s="92">
        <v>0.52152777777777781</v>
      </c>
      <c r="U15" s="129">
        <v>0.55555555555555558</v>
      </c>
      <c r="V15" s="142">
        <f t="shared" ref="V15:V19" si="10">U15-T15</f>
        <v>3.4027777777777768E-2</v>
      </c>
      <c r="W15" s="141">
        <f>IF(V15="","",IF(SUM(V15-ref!E$38)&gt;0,0,IF(V15=0, "0:00", SUM(V15-ref!E$38))))</f>
        <v>0</v>
      </c>
      <c r="X15" s="136"/>
      <c r="Y15" s="92"/>
      <c r="Z15" s="129"/>
      <c r="AA15" s="142">
        <f>Z15-Y15</f>
        <v>0</v>
      </c>
      <c r="AB15" s="244" t="str">
        <f>IF(AA15="","",IF(SUM(AA15-ref!E$38)&gt;0,0,IF(AA15=0, "0:00", SUM(AA15-ref!E$38))))</f>
        <v>0:00</v>
      </c>
      <c r="AC15" s="29"/>
      <c r="AD15" s="106"/>
      <c r="AE15" s="111">
        <f>SUM(AF15:AF21)</f>
        <v>5</v>
      </c>
      <c r="AF15" s="77">
        <f t="shared" ref="AF15:AF21" si="11">IF(AND(H15&lt;&gt;"",J15&lt;&gt;""),1,0+OR(N(J14)&lt;N(H14),F15="récupération",F15="congé 1 jour",F15="congé 1/2 jour ",F15="congé 5h24",F15="arrêt maladie",F15="arrêt travail",F15="férié ",F15="congé parentale",F15="congé de naissance"))</f>
        <v>1</v>
      </c>
      <c r="AG15" s="19"/>
      <c r="AH15" s="176" t="s">
        <v>71</v>
      </c>
      <c r="AI15" s="54" t="s">
        <v>68</v>
      </c>
      <c r="AJ15" s="177" t="s">
        <v>72</v>
      </c>
      <c r="AK15" s="55" cm="1">
        <f t="array" ref="AK15">IF(ISNUMBER(G16),G16-_xlfn.AGGREGATE(14,6,(K$4:K15&lt;G16)*K$4:K15,1),"")</f>
        <v>0.66944444444379769</v>
      </c>
      <c r="AL15" s="20">
        <f>IF(ISNUMBER(AK15),ABS(IF(SUM(AK15-ref!E$9)&gt;0,0,SUM(AK15-ref!E$9))),"")</f>
        <v>0</v>
      </c>
      <c r="AQ15"/>
    </row>
    <row r="16" spans="2:46" x14ac:dyDescent="0.25">
      <c r="B16" s="79" t="s">
        <v>1</v>
      </c>
      <c r="C16" s="88" t="s">
        <v>20</v>
      </c>
      <c r="D16" s="88"/>
      <c r="E16" s="154">
        <f t="shared" ref="E16:E19" si="12">E15+1</f>
        <v>43838</v>
      </c>
      <c r="F16" s="159" t="s">
        <v>20</v>
      </c>
      <c r="G16" s="155">
        <f t="shared" si="8"/>
        <v>43838.37777777778</v>
      </c>
      <c r="H16" s="29">
        <v>0.37777777777777777</v>
      </c>
      <c r="I16" s="23">
        <f t="shared" ref="I16:I21" si="13">SUM(V16+AA16+AC16)</f>
        <v>3.5416666666666652E-2</v>
      </c>
      <c r="J16" s="29">
        <v>0.76180555555555562</v>
      </c>
      <c r="K16" s="46">
        <f t="shared" si="9"/>
        <v>43838.761805555558</v>
      </c>
      <c r="L16" s="21">
        <f>IF(OR(F16="télétravail",F16="férié travaillé",F16="travail"),(J16-H16+IF(H16&gt;J16,1)-I16),INDEX(ref!$E$22:'ref'!$E$37,MATCH(F16,gerald3,0)))</f>
        <v>0.3486111111111112</v>
      </c>
      <c r="M16" s="13">
        <f>IF(SUM(L16-ref!E$8)&lt;0,0,SUM(L16-ref!E$8))</f>
        <v>0</v>
      </c>
      <c r="N16" s="252">
        <f>L16-(hs!D15+hs!F15+hs!H15+hs!J15)</f>
        <v>-3.5416666666666652E-2</v>
      </c>
      <c r="O16" s="8">
        <f>IF(OR(F16="férié travaillé",F16="travail",F16="asa",F16="rtt"),J16-H16+IF(H16&gt;J16,1),INDEX(ref!$E$22:'ref'!$E$37,MATCH(F16,gerald2,0)))</f>
        <v>0.38402777777777786</v>
      </c>
      <c r="P16" s="14">
        <f>IF(SUM(O16-ref!E$4)&lt;0,0,SUM(O16-ref!E$4))</f>
        <v>0</v>
      </c>
      <c r="Q16" s="98">
        <f t="shared" ref="Q16:Q21" si="14">Q15+L16</f>
        <v>0.64791666666666681</v>
      </c>
      <c r="S16" s="137"/>
      <c r="T16" s="92">
        <v>0.50624999999999998</v>
      </c>
      <c r="U16" s="129">
        <v>0.54166666666666663</v>
      </c>
      <c r="V16" s="142">
        <f t="shared" si="10"/>
        <v>3.5416666666666652E-2</v>
      </c>
      <c r="W16" s="141">
        <f>IF(V16="","",IF(SUM(V16-ref!E$38)&gt;0,0,IF(V16=0, "0:00", SUM(V16-ref!E$38))))</f>
        <v>0</v>
      </c>
      <c r="X16" s="137"/>
      <c r="Y16" s="92"/>
      <c r="Z16" s="129"/>
      <c r="AA16" s="142">
        <f t="shared" ref="AA16:AA19" si="15">Z16-Y16</f>
        <v>0</v>
      </c>
      <c r="AB16" s="245" t="str">
        <f>IF(AA16="","",IF(SUM(AA16-ref!E$38)&gt;0,0,IF(AA16=0, "0:00", SUM(AA16-ref!E$38))))</f>
        <v>0:00</v>
      </c>
      <c r="AC16" s="29"/>
      <c r="AD16" s="106"/>
      <c r="AE16" s="112">
        <f>IF(SUM(AE15-ref!E$7)&lt;0,0,SUM(AE15-ref!E$7))</f>
        <v>0</v>
      </c>
      <c r="AF16" s="77">
        <f t="shared" si="11"/>
        <v>1</v>
      </c>
      <c r="AG16" s="19"/>
      <c r="AH16" s="178" t="s">
        <v>72</v>
      </c>
      <c r="AI16" s="54" t="s">
        <v>68</v>
      </c>
      <c r="AJ16" s="177" t="s">
        <v>73</v>
      </c>
      <c r="AK16" s="55" cm="1">
        <f t="array" ref="AK16">IF(ISNUMBER(G17),G17-_xlfn.AGGREGATE(14,6,(K$4:K16&lt;G17)*K$4:K16,1),"")</f>
        <v>0.63333333333139308</v>
      </c>
      <c r="AL16" s="20">
        <f>IF(ISNUMBER(AK16),ABS(IF(SUM(AK16-ref!E$9)&gt;0,0,SUM(AK16-ref!E$9))),"")</f>
        <v>0</v>
      </c>
      <c r="AQ16"/>
    </row>
    <row r="17" spans="2:43" x14ac:dyDescent="0.25">
      <c r="B17" s="80">
        <v>8</v>
      </c>
      <c r="C17" s="88" t="s">
        <v>20</v>
      </c>
      <c r="D17" s="88"/>
      <c r="E17" s="154">
        <f t="shared" si="12"/>
        <v>43839</v>
      </c>
      <c r="F17" s="159" t="s">
        <v>20</v>
      </c>
      <c r="G17" s="155">
        <f t="shared" si="8"/>
        <v>43839.395138888889</v>
      </c>
      <c r="H17" s="29">
        <v>0.39513888888888887</v>
      </c>
      <c r="I17" s="23">
        <f t="shared" si="13"/>
        <v>3.6805555555555536E-2</v>
      </c>
      <c r="J17" s="29">
        <v>0.78333333333333333</v>
      </c>
      <c r="K17" s="46">
        <f t="shared" si="9"/>
        <v>43839.783333333333</v>
      </c>
      <c r="L17" s="21">
        <f>IF(OR(F17="télétravail",F17="férié travaillé",F17="travail"),(J17-H17+IF(H17&gt;J17,1)-I17),INDEX(ref!$E$22:'ref'!$E$37,MATCH(F17,gerald3,0)))</f>
        <v>0.35138888888888892</v>
      </c>
      <c r="M17" s="13">
        <f>IF(SUM(L17-ref!E$8)&lt;0,0,SUM(L17-ref!E$8))</f>
        <v>0</v>
      </c>
      <c r="N17" s="252">
        <f>L17-(hs!D16+hs!F16+hs!H16+hs!J16)</f>
        <v>-4.9305555555555491E-2</v>
      </c>
      <c r="O17" s="8">
        <f>IF(OR(F17="férié travaillé",F17="travail",F17="asa",F17="rtt"),J17-H17+IF(H17&gt;J17,1),INDEX(ref!$E$22:'ref'!$E$37,MATCH(F17,gerald2,0)))</f>
        <v>0.38819444444444445</v>
      </c>
      <c r="P17" s="14">
        <f>IF(SUM(O17-ref!E$4)&lt;0,0,SUM(O17-ref!E$4))</f>
        <v>0</v>
      </c>
      <c r="Q17" s="98">
        <f t="shared" si="14"/>
        <v>0.99930555555555567</v>
      </c>
      <c r="S17" s="137"/>
      <c r="T17" s="92">
        <v>0.52152777777777781</v>
      </c>
      <c r="U17" s="129">
        <v>0.55833333333333335</v>
      </c>
      <c r="V17" s="142">
        <f t="shared" si="10"/>
        <v>3.6805555555555536E-2</v>
      </c>
      <c r="W17" s="141">
        <f>IF(V17="","",IF(SUM(V17-ref!E$38)&gt;0,0,IF(V17=0, "0:00", SUM(V17-ref!E$38))))</f>
        <v>0</v>
      </c>
      <c r="X17" s="137"/>
      <c r="Y17" s="92"/>
      <c r="Z17" s="129"/>
      <c r="AA17" s="142">
        <f t="shared" si="15"/>
        <v>0</v>
      </c>
      <c r="AB17" s="245" t="str">
        <f>IF(AA17="","",IF(SUM(AA17-ref!E$38)&gt;0,0,IF(AA17=0, "0:00", SUM(AA17-ref!E$38))))</f>
        <v>0:00</v>
      </c>
      <c r="AC17" s="29"/>
      <c r="AD17" s="106"/>
      <c r="AE17" s="113" t="s">
        <v>29</v>
      </c>
      <c r="AF17" s="77">
        <f t="shared" si="11"/>
        <v>1</v>
      </c>
      <c r="AG17" s="19"/>
      <c r="AH17" s="178" t="s">
        <v>73</v>
      </c>
      <c r="AI17" s="54" t="s">
        <v>68</v>
      </c>
      <c r="AJ17" s="177" t="s">
        <v>74</v>
      </c>
      <c r="AK17" s="55" cm="1">
        <f t="array" ref="AK17">IF(ISNUMBER(G18),G18-_xlfn.AGGREGATE(14,6,(K$4:K17&lt;G18)*K$4:K17,1),"")</f>
        <v>0.60347222222480923</v>
      </c>
      <c r="AL17" s="20">
        <f>IF(ISNUMBER(AK17),ABS(IF(SUM(AK17-ref!E$9)&gt;0,0,SUM(AK17-ref!E$9))),"")</f>
        <v>0</v>
      </c>
      <c r="AQ17"/>
    </row>
    <row r="18" spans="2:43" x14ac:dyDescent="0.25">
      <c r="B18" s="79" t="s">
        <v>58</v>
      </c>
      <c r="C18" s="88" t="s">
        <v>20</v>
      </c>
      <c r="D18" s="88"/>
      <c r="E18" s="154">
        <f t="shared" si="12"/>
        <v>43840</v>
      </c>
      <c r="F18" s="159" t="s">
        <v>20</v>
      </c>
      <c r="G18" s="155">
        <f t="shared" si="8"/>
        <v>43840.386805555558</v>
      </c>
      <c r="H18" s="29">
        <v>0.38680555555555557</v>
      </c>
      <c r="I18" s="23">
        <f t="shared" si="13"/>
        <v>3.3333333333333437E-2</v>
      </c>
      <c r="J18" s="29">
        <v>0.74444444444444446</v>
      </c>
      <c r="K18" s="46">
        <f t="shared" si="9"/>
        <v>43840.744444444441</v>
      </c>
      <c r="L18" s="21">
        <f>IF(OR(F18="télétravail",F18="férié travaillé",F18="travail"),(J18-H18+IF(H18&gt;J18,1)-I18),INDEX(ref!$E$22:'ref'!$E$37,MATCH(F18,gerald3,0)))</f>
        <v>0.32430555555555546</v>
      </c>
      <c r="M18" s="13">
        <f>IF(SUM(L18-ref!E$8)&lt;0,0,SUM(L18-ref!E$8))</f>
        <v>0</v>
      </c>
      <c r="N18" s="252">
        <f>L18-(hs!D17+hs!F17+hs!H17+hs!J17)</f>
        <v>-3.3333333333333437E-2</v>
      </c>
      <c r="O18" s="8">
        <f>IF(OR(F18="férié travaillé",F18="travail",F18="asa",F18="rtt"),J18-H18+IF(H18&gt;J18,1),INDEX(ref!$E$22:'ref'!$E$37,MATCH(F18,gerald2,0)))</f>
        <v>0.3576388888888889</v>
      </c>
      <c r="P18" s="14">
        <f>IF(SUM(O18-ref!E$4)&lt;0,0,SUM(O18-ref!E$4))</f>
        <v>0</v>
      </c>
      <c r="Q18" s="97">
        <f t="shared" si="14"/>
        <v>1.3236111111111111</v>
      </c>
      <c r="S18" s="137"/>
      <c r="T18" s="92">
        <v>0.51874999999999993</v>
      </c>
      <c r="U18" s="129">
        <v>0.55208333333333337</v>
      </c>
      <c r="V18" s="142">
        <f t="shared" si="10"/>
        <v>3.3333333333333437E-2</v>
      </c>
      <c r="W18" s="141">
        <f>IF(V18="","",IF(SUM(V18-ref!E$38)&gt;0,0,IF(V18=0, "0:00", SUM(V18-ref!E$38))))</f>
        <v>0</v>
      </c>
      <c r="X18" s="137"/>
      <c r="Y18" s="92"/>
      <c r="Z18" s="129"/>
      <c r="AA18" s="142">
        <f t="shared" si="15"/>
        <v>0</v>
      </c>
      <c r="AB18" s="245" t="str">
        <f>IF(AA18="","",IF(SUM(AA18-ref!E$38)&gt;0,0,IF(AA18=0, "0:00", SUM(AA18-ref!E$38))))</f>
        <v>0:00</v>
      </c>
      <c r="AC18" s="29"/>
      <c r="AD18" s="106"/>
      <c r="AE18" s="114">
        <f>Q21</f>
        <v>1.6743055555555555</v>
      </c>
      <c r="AF18" s="77">
        <f t="shared" si="11"/>
        <v>1</v>
      </c>
      <c r="AG18" s="19"/>
      <c r="AH18" s="178" t="s">
        <v>74</v>
      </c>
      <c r="AI18" s="54" t="s">
        <v>68</v>
      </c>
      <c r="AJ18" s="177" t="s">
        <v>75</v>
      </c>
      <c r="AK18" s="55" cm="1">
        <f t="array" ref="AK18">IF(ISNUMBER(G19),G19-_xlfn.AGGREGATE(14,6,(K$4:K18&lt;G19)*K$4:K18,1),"")</f>
        <v>0.63055555555911269</v>
      </c>
      <c r="AL18" s="20">
        <f>IF(ISNUMBER(AK18),ABS(IF(SUM(AK18-ref!E$9)&gt;0,0,SUM(AK18-ref!E$9))),"")</f>
        <v>0</v>
      </c>
      <c r="AQ18"/>
    </row>
    <row r="19" spans="2:43" x14ac:dyDescent="0.25">
      <c r="B19" s="81">
        <v>1</v>
      </c>
      <c r="C19" s="88" t="s">
        <v>20</v>
      </c>
      <c r="D19" s="88"/>
      <c r="E19" s="154">
        <f t="shared" si="12"/>
        <v>43841</v>
      </c>
      <c r="F19" s="159" t="s">
        <v>20</v>
      </c>
      <c r="G19" s="155">
        <f t="shared" si="8"/>
        <v>43841.375</v>
      </c>
      <c r="H19" s="29">
        <v>0.375</v>
      </c>
      <c r="I19" s="23">
        <f t="shared" si="13"/>
        <v>2.083333333333337E-2</v>
      </c>
      <c r="J19" s="29">
        <v>0.74652777777777779</v>
      </c>
      <c r="K19" s="46">
        <f t="shared" si="9"/>
        <v>43841.746527777781</v>
      </c>
      <c r="L19" s="21">
        <f>IF(OR(F19="télétravail",F19="férié travaillé",F19="travail"),(J19-H19+IF(H19&gt;J19,1)-I19),INDEX(ref!$E$22:'ref'!$E$37,MATCH(F19,gerald3,0)))</f>
        <v>0.35069444444444442</v>
      </c>
      <c r="M19" s="13">
        <f>IF(SUM(L19-ref!E$8)&lt;0,0,SUM(L19-ref!E$8))</f>
        <v>0</v>
      </c>
      <c r="N19" s="252">
        <f>L19-(hs!D18+hs!F18+hs!H18+hs!J18)</f>
        <v>-2.083333333333337E-2</v>
      </c>
      <c r="O19" s="8">
        <f>IF(OR(F19="férié travaillé",F19="travail",F19="asa",F19="rtt"),J19-H19+IF(H19&gt;J19,1),INDEX(ref!$E$22:'ref'!$E$37,MATCH(F19,gerald2,0)))</f>
        <v>0.37152777777777779</v>
      </c>
      <c r="P19" s="14">
        <f>IF(SUM(O19-ref!E$4)&lt;0,0,SUM(O19-ref!E$4))</f>
        <v>0</v>
      </c>
      <c r="Q19" s="24">
        <f t="shared" si="14"/>
        <v>1.6743055555555555</v>
      </c>
      <c r="S19" s="137"/>
      <c r="T19" s="92">
        <v>0.55555555555555558</v>
      </c>
      <c r="U19" s="129">
        <v>0.57638888888888895</v>
      </c>
      <c r="V19" s="142">
        <f t="shared" si="10"/>
        <v>2.083333333333337E-2</v>
      </c>
      <c r="W19" s="141">
        <f>IF(V19="","",IF(SUM(V19-ref!E$38)&gt;0,0,IF(V19=0, "0:00", SUM(V19-ref!E$38))))</f>
        <v>-1.041666666666663E-2</v>
      </c>
      <c r="X19" s="137"/>
      <c r="Y19" s="92"/>
      <c r="Z19" s="129"/>
      <c r="AA19" s="142">
        <f t="shared" si="15"/>
        <v>0</v>
      </c>
      <c r="AB19" s="245" t="str">
        <f>IF(AA19="","",IF(SUM(AA19-ref!E$38)&gt;0,0,IF(AA19=0, "0:00", SUM(AA19-ref!E$38))))</f>
        <v>0:00</v>
      </c>
      <c r="AC19" s="29"/>
      <c r="AD19" s="106"/>
      <c r="AE19" s="117" t="s">
        <v>47</v>
      </c>
      <c r="AF19" s="77">
        <f t="shared" si="11"/>
        <v>1</v>
      </c>
      <c r="AG19" s="19"/>
      <c r="AH19" s="178" t="s">
        <v>75</v>
      </c>
      <c r="AI19" s="54" t="s">
        <v>68</v>
      </c>
      <c r="AJ19" s="177" t="s">
        <v>76</v>
      </c>
      <c r="AK19" s="55" t="str" cm="1">
        <f t="array" ref="AK19">IF(ISNUMBER(G20),G20-_xlfn.AGGREGATE(14,6,(K$4:K19&lt;G20)*K$4:K19,1),"")</f>
        <v/>
      </c>
      <c r="AL19" s="20" t="str">
        <f>IF(ISNUMBER(AK19),ABS(IF(SUM(AK19-ref!E$9)&gt;0,0,SUM(AK19-ref!E$9))),"")</f>
        <v/>
      </c>
      <c r="AQ19"/>
    </row>
    <row r="20" spans="2:43" ht="15.75" thickBot="1" x14ac:dyDescent="0.3">
      <c r="B20"/>
      <c r="C20" s="89"/>
      <c r="D20" s="89"/>
      <c r="E20" s="154">
        <f>E19+1</f>
        <v>43842</v>
      </c>
      <c r="F20" s="159" t="s">
        <v>19</v>
      </c>
      <c r="G20" s="155" t="str">
        <f t="shared" si="8"/>
        <v/>
      </c>
      <c r="H20" s="29"/>
      <c r="I20" s="23">
        <f t="shared" si="13"/>
        <v>0</v>
      </c>
      <c r="J20" s="29"/>
      <c r="K20" s="46" t="str">
        <f t="shared" si="9"/>
        <v/>
      </c>
      <c r="L20" s="21">
        <f>IF(OR(F20="télétravail",F20="férié travaillé",F20="travail"),(J20-H20+IF(H20&gt;J20,1)-I20),INDEX(ref!$E$22:'ref'!$E$37,MATCH(F20,gerald3,0)))</f>
        <v>0</v>
      </c>
      <c r="M20" s="13">
        <f>IF(SUM(L20-ref!E$8)&lt;0,0,SUM(L20-ref!E$8))</f>
        <v>0</v>
      </c>
      <c r="N20" s="252">
        <f>L20-(hs!D19+hs!F19+hs!H19+hs!J19)</f>
        <v>0</v>
      </c>
      <c r="O20" s="8">
        <f>IF(OR(F20="férié travaillé",F20="travail",F20="asa",F20="rtt"),J20-H20+IF(H20&gt;J20,1),INDEX(ref!$E$22:'ref'!$E$37,MATCH(F20,gerald2,0)))</f>
        <v>0</v>
      </c>
      <c r="P20" s="14">
        <f>IF(SUM(O20-ref!E$4)&lt;0,0,SUM(O20-ref!E$4))</f>
        <v>0</v>
      </c>
      <c r="Q20" s="97">
        <f t="shared" si="14"/>
        <v>1.6743055555555555</v>
      </c>
      <c r="S20" s="137"/>
      <c r="T20" s="92"/>
      <c r="U20" s="129"/>
      <c r="V20" s="142">
        <f>U20-T20</f>
        <v>0</v>
      </c>
      <c r="W20" s="141" t="str">
        <f>IF(V20="","",IF(SUM(V20-ref!E$38)&gt;0,0,IF(V20=0, "0:00", SUM(V20-ref!E$38))))</f>
        <v>0:00</v>
      </c>
      <c r="X20" s="137"/>
      <c r="Y20" s="92"/>
      <c r="Z20" s="129"/>
      <c r="AA20" s="142">
        <f>Z20-Y20</f>
        <v>0</v>
      </c>
      <c r="AB20" s="245" t="str">
        <f>IF(AA20="","",IF(SUM(AA20-ref!E$38)&gt;0,0,IF(AA20=0, "0:00", SUM(AA20-ref!E$38))))</f>
        <v>0:00</v>
      </c>
      <c r="AC20" s="29"/>
      <c r="AD20" s="106"/>
      <c r="AE20" s="118">
        <f>ref!E$11</f>
        <v>2</v>
      </c>
      <c r="AF20" s="77">
        <f t="shared" si="11"/>
        <v>0</v>
      </c>
      <c r="AG20" s="19"/>
      <c r="AH20" s="178" t="s">
        <v>76</v>
      </c>
      <c r="AI20" s="54" t="s">
        <v>68</v>
      </c>
      <c r="AJ20" s="177" t="s">
        <v>77</v>
      </c>
      <c r="AK20" s="55" t="str" cm="1">
        <f t="array" ref="AK20">IF(ISNUMBER(G21),G21-_xlfn.AGGREGATE(14,6,(K$4:K20&lt;G21)*K$4:K20,1),"")</f>
        <v/>
      </c>
      <c r="AL20" s="20" t="str">
        <f>IF(ISNUMBER(AK20),ABS(IF(SUM(AK20-ref!E$9)&gt;0,0,SUM(AK20-ref!E$9))),"")</f>
        <v/>
      </c>
      <c r="AQ20"/>
    </row>
    <row r="21" spans="2:43" ht="15.75" thickBot="1" x14ac:dyDescent="0.3">
      <c r="B21"/>
      <c r="C21" s="89"/>
      <c r="D21" s="89"/>
      <c r="E21" s="154">
        <f>E20+1</f>
        <v>43843</v>
      </c>
      <c r="F21" s="160" t="s">
        <v>19</v>
      </c>
      <c r="G21" s="155" t="str">
        <f t="shared" si="8"/>
        <v/>
      </c>
      <c r="H21" s="29"/>
      <c r="I21" s="23">
        <f t="shared" si="13"/>
        <v>0</v>
      </c>
      <c r="J21" s="29"/>
      <c r="K21" s="46" t="str">
        <f t="shared" si="9"/>
        <v/>
      </c>
      <c r="L21" s="21">
        <f>IF(OR(F21="télétravail",F21="férié travaillé",F21="travail"),(J21-H21+IF(H21&gt;J21,1)-I21),INDEX(ref!$E$22:'ref'!$E$37,MATCH(F21,gerald3,0)))</f>
        <v>0</v>
      </c>
      <c r="M21" s="13">
        <f>IF(SUM(L21-ref!E$8)&lt;0,0,SUM(L21-ref!E$8))</f>
        <v>0</v>
      </c>
      <c r="N21" s="252">
        <f>L21-(hs!D20+hs!F20+hs!H20+hs!J20)</f>
        <v>0</v>
      </c>
      <c r="O21" s="8">
        <f>IF(OR(F21="férié travaillé",F21="travail",F21="asa",F21="rtt"),J21-H21+IF(H21&gt;J21,1),INDEX(ref!$E$22:'ref'!$E$37,MATCH(F21,gerald2,0)))</f>
        <v>0</v>
      </c>
      <c r="P21" s="14">
        <f>IF(SUM(O21-ref!E$4)&lt;0,0,SUM(O21-ref!E$4))</f>
        <v>0</v>
      </c>
      <c r="Q21" s="94">
        <f t="shared" si="14"/>
        <v>1.6743055555555555</v>
      </c>
      <c r="S21" s="138"/>
      <c r="T21" s="92"/>
      <c r="U21" s="129"/>
      <c r="V21" s="142">
        <f>U21-T21</f>
        <v>0</v>
      </c>
      <c r="W21" s="141" t="str">
        <f>IF(V21="","",IF(SUM(V21-ref!E$38)&gt;0,0,IF(V21=0, "0:00", SUM(V21-ref!E$38))))</f>
        <v>0:00</v>
      </c>
      <c r="X21" s="138"/>
      <c r="Y21" s="92"/>
      <c r="Z21" s="129"/>
      <c r="AA21" s="142">
        <f>Z21-Y21</f>
        <v>0</v>
      </c>
      <c r="AB21" s="246" t="str">
        <f>IF(AA21="","",IF(SUM(AA21-ref!E$38)&gt;0,0,IF(AA21=0, "0:00", SUM(AA21-ref!E$38))))</f>
        <v>0:00</v>
      </c>
      <c r="AC21" s="29"/>
      <c r="AD21" s="106"/>
      <c r="AE21" s="110">
        <f>IF(SUM(Q21-ref!E$11)&lt;0,0,SUM(Q21-ref!E$11))</f>
        <v>0</v>
      </c>
      <c r="AF21" s="77">
        <f t="shared" si="11"/>
        <v>0</v>
      </c>
      <c r="AG21" s="19"/>
      <c r="AQ21"/>
    </row>
    <row r="22" spans="2:43" x14ac:dyDescent="0.25">
      <c r="C22" s="89"/>
      <c r="D22" s="89"/>
      <c r="F22" s="157"/>
      <c r="W22" s="74"/>
      <c r="AA22" s="2"/>
      <c r="AB22" s="2"/>
      <c r="AC22" s="127"/>
      <c r="AQ22"/>
    </row>
    <row r="23" spans="2:43" x14ac:dyDescent="0.25">
      <c r="C23" s="89"/>
      <c r="D23" s="89"/>
      <c r="F23" s="157"/>
      <c r="Q23" s="16"/>
      <c r="AA23" s="2"/>
      <c r="AB23" s="2"/>
      <c r="AC23" s="127"/>
      <c r="AQ23"/>
    </row>
    <row r="24" spans="2:43" ht="15.75" thickBot="1" x14ac:dyDescent="0.3">
      <c r="C24" s="89"/>
      <c r="D24" s="89"/>
      <c r="F24" s="157"/>
      <c r="W24" s="74"/>
      <c r="AA24" s="2"/>
      <c r="AB24" s="2"/>
      <c r="AC24" s="127"/>
      <c r="AQ24"/>
    </row>
    <row r="25" spans="2:43" x14ac:dyDescent="0.25">
      <c r="B25" s="78" t="s">
        <v>1</v>
      </c>
      <c r="C25" s="88" t="s">
        <v>20</v>
      </c>
      <c r="D25" s="88"/>
      <c r="E25" s="154">
        <f>DATE(ref!E$2,B29,B27)</f>
        <v>43844</v>
      </c>
      <c r="F25" s="158" t="s">
        <v>20</v>
      </c>
      <c r="G25" s="155">
        <f t="shared" ref="G25:G31" si="16">IF(AND(J25="",H25=""),"",E25+H25)</f>
        <v>43844.37777777778</v>
      </c>
      <c r="H25" s="29">
        <v>0.37777777777777777</v>
      </c>
      <c r="I25" s="23">
        <f>SUM(V25+AA25+AC25)</f>
        <v>3.3333333333333326E-2</v>
      </c>
      <c r="J25" s="29">
        <v>0.71180555555555547</v>
      </c>
      <c r="K25" s="46">
        <f t="shared" ref="K25:K31" si="17">IF(AND(H25="",J25=""),"",E25+J25+(H25&gt;J25))</f>
        <v>43844.711805555555</v>
      </c>
      <c r="L25" s="21">
        <f>IF(OR(F25="télétravail",F25="férié travaillé",F25="travail"),(J25-H25+IF(H25&gt;J25,1)-I25),INDEX(ref!$E$22:'ref'!$E$37,MATCH(F25,gerald3,0)))</f>
        <v>0.30069444444444438</v>
      </c>
      <c r="M25" s="13">
        <f>IF(SUM(L25-ref!E$8)&lt;0,0,SUM(L25-ref!E$8))</f>
        <v>0</v>
      </c>
      <c r="N25" s="252">
        <f>L25-(hs!D24+hs!F24+hs!H24+hs!J24)</f>
        <v>-3.3333333333333326E-2</v>
      </c>
      <c r="O25" s="8">
        <f>IF(OR(F25="férié travaillé",F25="travail",F25="asa",F25="rtt"),J25-H25+IF(H25&gt;J25,1),INDEX(ref!$E$22:'ref'!$E$37,MATCH(F25,gerald2,0)))</f>
        <v>0.3340277777777777</v>
      </c>
      <c r="P25" s="14">
        <f>IF(SUM(O25-ref!E$4)&lt;0,0,SUM(O25-ref!E$4))</f>
        <v>0</v>
      </c>
      <c r="Q25" s="166">
        <f>L25</f>
        <v>0.30069444444444438</v>
      </c>
      <c r="S25" s="136"/>
      <c r="T25" s="92">
        <v>0.5395833333333333</v>
      </c>
      <c r="U25" s="129">
        <v>0.57291666666666663</v>
      </c>
      <c r="V25" s="142">
        <f t="shared" ref="V25:V29" si="18">U25-T25</f>
        <v>3.3333333333333326E-2</v>
      </c>
      <c r="W25" s="141">
        <f>IF(V25="","",IF(SUM(V25-ref!E$38)&gt;0,0,IF(V25=0, "0:00", SUM(V25-ref!E$38))))</f>
        <v>0</v>
      </c>
      <c r="X25" s="136"/>
      <c r="Y25" s="92"/>
      <c r="Z25" s="129"/>
      <c r="AA25" s="142">
        <f>Z25-Y25</f>
        <v>0</v>
      </c>
      <c r="AB25" s="244" t="str">
        <f>IF(AA25="","",IF(SUM(AA25-ref!E$38)&gt;0,0,IF(AA25=0, "0:00", SUM(AA25-ref!E$38))))</f>
        <v>0:00</v>
      </c>
      <c r="AC25" s="29"/>
      <c r="AD25" s="106"/>
      <c r="AE25" s="111">
        <f>SUM(AF25:AF31)</f>
        <v>6</v>
      </c>
      <c r="AF25" s="77">
        <f t="shared" ref="AF25:AF31" si="19">IF(AND(H25&lt;&gt;"",J25&lt;&gt;""),1,0+OR(N(J24)&lt;N(H24),F25="récupération",F25="congé 1 jour",F25="congé 1/2 jour ",F25="congé 5h24",F25="arrêt maladie",F25="arrêt travail",F25="férié ",F25="congé parentale",F25="congé de naissance"))</f>
        <v>1</v>
      </c>
      <c r="AG25" s="19"/>
      <c r="AH25" s="176" t="s">
        <v>71</v>
      </c>
      <c r="AI25" s="54" t="s">
        <v>68</v>
      </c>
      <c r="AJ25" s="177" t="s">
        <v>72</v>
      </c>
      <c r="AK25" s="55" cm="1">
        <f t="array" ref="AK25">IF(ISNUMBER(G26),G26-_xlfn.AGGREGATE(14,6,(K$4:K25&lt;G26)*K$4:K25,1),"")</f>
        <v>0.66875000000436557</v>
      </c>
      <c r="AL25" s="20">
        <f>IF(ISNUMBER(AK25),ABS(IF(SUM(AK25-ref!E$9)&gt;0,0,SUM(AK25-ref!E$9))),"")</f>
        <v>0</v>
      </c>
      <c r="AQ25"/>
    </row>
    <row r="26" spans="2:43" x14ac:dyDescent="0.25">
      <c r="B26" s="79" t="s">
        <v>1</v>
      </c>
      <c r="C26" s="88" t="s">
        <v>20</v>
      </c>
      <c r="D26" s="88"/>
      <c r="E26" s="154">
        <f t="shared" ref="E26:E29" si="20">E25+1</f>
        <v>43845</v>
      </c>
      <c r="F26" s="159" t="s">
        <v>20</v>
      </c>
      <c r="G26" s="155">
        <f t="shared" si="16"/>
        <v>43845.380555555559</v>
      </c>
      <c r="H26" s="29">
        <v>0.38055555555555554</v>
      </c>
      <c r="I26" s="23">
        <f t="shared" ref="I26:I31" si="21">SUM(V26+AA26+AC26)</f>
        <v>3.2638888888888995E-2</v>
      </c>
      <c r="J26" s="29">
        <v>0.85555555555555562</v>
      </c>
      <c r="K26" s="46">
        <f t="shared" si="17"/>
        <v>43845.855555555558</v>
      </c>
      <c r="L26" s="21">
        <f>IF(OR(F26="télétravail",F26="férié travaillé",F26="travail"),(J26-H26+IF(H26&gt;J26,1)-I26),INDEX(ref!$E$22:'ref'!$E$37,MATCH(F26,gerald3,0)))</f>
        <v>0.44236111111111109</v>
      </c>
      <c r="M26" s="13">
        <f>IF(SUM(L26-ref!E$8)&lt;0,0,SUM(L26-ref!E$8))</f>
        <v>2.5694444444444409E-2</v>
      </c>
      <c r="N26" s="252">
        <f>L26-(hs!D25+hs!F25+hs!H25+hs!J25)</f>
        <v>-0.11736111111111125</v>
      </c>
      <c r="O26" s="8">
        <f>IF(OR(F26="férié travaillé",F26="travail",F26="asa",F26="rtt"),J26-H26+IF(H26&gt;J26,1),INDEX(ref!$E$22:'ref'!$E$37,MATCH(F26,gerald2,0)))</f>
        <v>0.47500000000000009</v>
      </c>
      <c r="P26" s="14">
        <f>IF(SUM(O26-ref!E$4)&lt;0,0,SUM(O26-ref!E$4))</f>
        <v>0</v>
      </c>
      <c r="Q26" s="98">
        <f t="shared" ref="Q26:Q31" si="22">Q25+L26</f>
        <v>0.74305555555555547</v>
      </c>
      <c r="S26" s="137"/>
      <c r="T26" s="92">
        <v>0.50972222222222219</v>
      </c>
      <c r="U26" s="129">
        <v>0.54236111111111118</v>
      </c>
      <c r="V26" s="142">
        <f t="shared" si="18"/>
        <v>3.2638888888888995E-2</v>
      </c>
      <c r="W26" s="141">
        <f>IF(V26="","",IF(SUM(V26-ref!E$38)&gt;0,0,IF(V26=0, "0:00", SUM(V26-ref!E$38))))</f>
        <v>0</v>
      </c>
      <c r="X26" s="137"/>
      <c r="Y26" s="92"/>
      <c r="Z26" s="129"/>
      <c r="AA26" s="142">
        <f t="shared" ref="AA26:AA29" si="23">Z26-Y26</f>
        <v>0</v>
      </c>
      <c r="AB26" s="245" t="str">
        <f>IF(AA26="","",IF(SUM(AA26-ref!E$38)&gt;0,0,IF(AA26=0, "0:00", SUM(AA26-ref!E$38))))</f>
        <v>0:00</v>
      </c>
      <c r="AC26" s="29"/>
      <c r="AD26" s="106"/>
      <c r="AE26" s="119">
        <f>IF(SUM(AE25-ref!E$7)&lt;0,0,SUM(AE25-ref!E$7))</f>
        <v>0</v>
      </c>
      <c r="AF26" s="77">
        <f t="shared" si="19"/>
        <v>1</v>
      </c>
      <c r="AG26" s="19"/>
      <c r="AH26" s="178" t="s">
        <v>72</v>
      </c>
      <c r="AI26" s="54" t="s">
        <v>68</v>
      </c>
      <c r="AJ26" s="177" t="s">
        <v>73</v>
      </c>
      <c r="AK26" s="55" cm="1">
        <f t="array" ref="AK26">IF(ISNUMBER(G27),G27-_xlfn.AGGREGATE(14,6,(K$4:K26&lt;G27)*K$4:K26,1),"")</f>
        <v>0.57222222221753327</v>
      </c>
      <c r="AL26" s="20">
        <f>IF(ISNUMBER(AK26),ABS(IF(SUM(AK26-ref!E$9)&gt;0,0,SUM(AK26-ref!E$9))),"")</f>
        <v>0</v>
      </c>
      <c r="AQ26"/>
    </row>
    <row r="27" spans="2:43" x14ac:dyDescent="0.25">
      <c r="B27" s="80">
        <v>15</v>
      </c>
      <c r="C27" s="88" t="s">
        <v>20</v>
      </c>
      <c r="D27" s="88"/>
      <c r="E27" s="154">
        <f t="shared" si="20"/>
        <v>43846</v>
      </c>
      <c r="F27" s="159" t="s">
        <v>20</v>
      </c>
      <c r="G27" s="155">
        <f t="shared" si="16"/>
        <v>43846.427777777775</v>
      </c>
      <c r="H27" s="29">
        <v>0.42777777777777781</v>
      </c>
      <c r="I27" s="23">
        <f t="shared" si="21"/>
        <v>3.4722222222222321E-2</v>
      </c>
      <c r="J27" s="29">
        <v>0.78333333333333333</v>
      </c>
      <c r="K27" s="46">
        <f t="shared" si="17"/>
        <v>43846.783333333333</v>
      </c>
      <c r="L27" s="21">
        <f>IF(OR(F27="télétravail",F27="férié travaillé",F27="travail"),(J27-H27+IF(H27&gt;J27,1)-I27),INDEX(ref!$E$22:'ref'!$E$37,MATCH(F27,gerald3,0)))</f>
        <v>0.32083333333333319</v>
      </c>
      <c r="M27" s="13">
        <f>IF(SUM(L27-ref!E$8)&lt;0,0,SUM(L27-ref!E$8))</f>
        <v>0</v>
      </c>
      <c r="N27" s="252">
        <f>L27-(hs!D26+hs!F26+hs!H26+hs!J26)</f>
        <v>-4.7222222222222276E-2</v>
      </c>
      <c r="O27" s="8">
        <f>IF(OR(F27="férié travaillé",F27="travail",F27="asa",F27="rtt"),J27-H27+IF(H27&gt;J27,1),INDEX(ref!$E$22:'ref'!$E$37,MATCH(F27,gerald2,0)))</f>
        <v>0.35555555555555551</v>
      </c>
      <c r="P27" s="14">
        <f>IF(SUM(O27-ref!E$4)&lt;0,0,SUM(O27-ref!E$4))</f>
        <v>0</v>
      </c>
      <c r="Q27" s="98">
        <f t="shared" si="22"/>
        <v>1.0638888888888887</v>
      </c>
      <c r="S27" s="137"/>
      <c r="T27" s="92">
        <v>0.5131944444444444</v>
      </c>
      <c r="U27" s="129">
        <v>0.54791666666666672</v>
      </c>
      <c r="V27" s="142">
        <f t="shared" si="18"/>
        <v>3.4722222222222321E-2</v>
      </c>
      <c r="W27" s="141">
        <f>IF(V27="","",IF(SUM(V27-ref!E$38)&gt;0,0,IF(V27=0, "0:00", SUM(V27-ref!E$38))))</f>
        <v>0</v>
      </c>
      <c r="X27" s="137"/>
      <c r="Y27" s="92"/>
      <c r="Z27" s="129"/>
      <c r="AA27" s="142">
        <f t="shared" si="23"/>
        <v>0</v>
      </c>
      <c r="AB27" s="245" t="str">
        <f>IF(AA27="","",IF(SUM(AA27-ref!E$38)&gt;0,0,IF(AA27=0, "0:00", SUM(AA27-ref!E$38))))</f>
        <v>0:00</v>
      </c>
      <c r="AC27" s="29"/>
      <c r="AD27" s="106"/>
      <c r="AE27" s="117" t="s">
        <v>29</v>
      </c>
      <c r="AF27" s="77">
        <f t="shared" si="19"/>
        <v>1</v>
      </c>
      <c r="AG27" s="19"/>
      <c r="AH27" s="178" t="s">
        <v>73</v>
      </c>
      <c r="AI27" s="54" t="s">
        <v>68</v>
      </c>
      <c r="AJ27" s="177" t="s">
        <v>74</v>
      </c>
      <c r="AK27" s="55" cm="1">
        <f t="array" ref="AK27">IF(ISNUMBER(G28),G28-_xlfn.AGGREGATE(14,6,(K$4:K27&lt;G28)*K$4:K27,1),"")</f>
        <v>0.59166666666715173</v>
      </c>
      <c r="AL27" s="20">
        <f>IF(ISNUMBER(AK27),ABS(IF(SUM(AK27-ref!E$9)&gt;0,0,SUM(AK27-ref!E$9))),"")</f>
        <v>0</v>
      </c>
      <c r="AQ27"/>
    </row>
    <row r="28" spans="2:43" x14ac:dyDescent="0.25">
      <c r="B28" s="79" t="s">
        <v>58</v>
      </c>
      <c r="C28" s="88" t="s">
        <v>20</v>
      </c>
      <c r="D28" s="88"/>
      <c r="E28" s="154">
        <f t="shared" si="20"/>
        <v>43847</v>
      </c>
      <c r="F28" s="159" t="s">
        <v>20</v>
      </c>
      <c r="G28" s="155">
        <f t="shared" si="16"/>
        <v>43847.375</v>
      </c>
      <c r="H28" s="29">
        <v>0.375</v>
      </c>
      <c r="I28" s="23">
        <f t="shared" si="21"/>
        <v>3.125E-2</v>
      </c>
      <c r="J28" s="29">
        <v>0.77500000000000002</v>
      </c>
      <c r="K28" s="46">
        <f t="shared" si="17"/>
        <v>43847.775000000001</v>
      </c>
      <c r="L28" s="21">
        <f>IF(OR(F28="télétravail",F28="férié travaillé",F28="travail"),(J28-H28+IF(H28&gt;J28,1)-I28),INDEX(ref!$E$22:'ref'!$E$37,MATCH(F28,gerald3,0)))</f>
        <v>0.36875000000000002</v>
      </c>
      <c r="M28" s="13">
        <f>IF(SUM(L28-ref!E$8)&lt;0,0,SUM(L28-ref!E$8))</f>
        <v>0</v>
      </c>
      <c r="N28" s="252">
        <f>L28-(hs!D27+hs!F27+hs!H27+hs!J27)</f>
        <v>-3.5416666666666652E-2</v>
      </c>
      <c r="O28" s="8">
        <f>IF(OR(F28="férié travaillé",F28="travail",F28="asa",F28="rtt"),J28-H28+IF(H28&gt;J28,1),INDEX(ref!$E$22:'ref'!$E$37,MATCH(F28,gerald2,0)))</f>
        <v>0.4</v>
      </c>
      <c r="P28" s="14">
        <f>IF(SUM(O28-ref!E$4)&lt;0,0,SUM(O28-ref!E$4))</f>
        <v>0</v>
      </c>
      <c r="Q28" s="98">
        <f t="shared" si="22"/>
        <v>1.4326388888888886</v>
      </c>
      <c r="S28" s="137"/>
      <c r="T28" s="92">
        <v>0.54166666666666663</v>
      </c>
      <c r="U28" s="129">
        <v>0.57291666666666663</v>
      </c>
      <c r="V28" s="142">
        <f t="shared" si="18"/>
        <v>3.125E-2</v>
      </c>
      <c r="W28" s="141">
        <f>IF(V28="","",IF(SUM(V28-ref!E$38)&gt;0,0,IF(V28=0, "0:00", SUM(V28-ref!E$38))))</f>
        <v>0</v>
      </c>
      <c r="X28" s="137"/>
      <c r="Y28" s="92"/>
      <c r="Z28" s="129"/>
      <c r="AA28" s="142">
        <f t="shared" si="23"/>
        <v>0</v>
      </c>
      <c r="AB28" s="245" t="str">
        <f>IF(AA28="","",IF(SUM(AA28-ref!E$38)&gt;0,0,IF(AA28=0, "0:00", SUM(AA28-ref!E$38))))</f>
        <v>0:00</v>
      </c>
      <c r="AC28" s="29"/>
      <c r="AD28" s="106"/>
      <c r="AE28" s="114">
        <f>Q31</f>
        <v>2.088194444444444</v>
      </c>
      <c r="AF28" s="77">
        <f t="shared" si="19"/>
        <v>1</v>
      </c>
      <c r="AG28" s="19"/>
      <c r="AH28" s="178" t="s">
        <v>74</v>
      </c>
      <c r="AI28" s="54" t="s">
        <v>68</v>
      </c>
      <c r="AJ28" s="177" t="s">
        <v>75</v>
      </c>
      <c r="AK28" s="55" cm="1">
        <f t="array" ref="AK28">IF(ISNUMBER(G29),G29-_xlfn.AGGREGATE(14,6,(K$4:K28&lt;G29)*K$4:K28,1),"")</f>
        <v>0.60347222221753327</v>
      </c>
      <c r="AL28" s="20">
        <f>IF(ISNUMBER(AK28),ABS(IF(SUM(AK28-ref!E$9)&gt;0,0,SUM(AK28-ref!E$9))),"")</f>
        <v>0</v>
      </c>
      <c r="AQ28"/>
    </row>
    <row r="29" spans="2:43" x14ac:dyDescent="0.25">
      <c r="B29" s="81">
        <v>1</v>
      </c>
      <c r="C29" s="88" t="s">
        <v>20</v>
      </c>
      <c r="D29" s="88"/>
      <c r="E29" s="154">
        <f t="shared" si="20"/>
        <v>43848</v>
      </c>
      <c r="F29" s="159" t="s">
        <v>20</v>
      </c>
      <c r="G29" s="155">
        <f t="shared" si="16"/>
        <v>43848.378472222219</v>
      </c>
      <c r="H29" s="29">
        <v>0.37847222222222227</v>
      </c>
      <c r="I29" s="23">
        <f t="shared" si="21"/>
        <v>2.0138888888888928E-2</v>
      </c>
      <c r="J29" s="29">
        <v>0.76736111111111116</v>
      </c>
      <c r="K29" s="46">
        <f t="shared" si="17"/>
        <v>43848.767361111109</v>
      </c>
      <c r="L29" s="21">
        <f>IF(OR(F29="télétravail",F29="férié travaillé",F29="travail"),(J29-H29+IF(H29&gt;J29,1)-I29),INDEX(ref!$E$22:'ref'!$E$37,MATCH(F29,gerald3,0)))</f>
        <v>0.36874999999999997</v>
      </c>
      <c r="M29" s="13">
        <f>IF(SUM(L29-ref!E$8)&lt;0,0,SUM(L29-ref!E$8))</f>
        <v>0</v>
      </c>
      <c r="N29" s="252">
        <f>L29-(hs!D28+hs!F28+hs!H28+hs!J28)</f>
        <v>-2.0138888888888928E-2</v>
      </c>
      <c r="O29" s="8">
        <f>IF(OR(F29="férié travaillé",F29="travail",F29="asa",F29="rtt"),J29-H29+IF(H29&gt;J29,1),INDEX(ref!$E$22:'ref'!$E$37,MATCH(F29,gerald2,0)))</f>
        <v>0.3888888888888889</v>
      </c>
      <c r="P29" s="14">
        <f>IF(SUM(O29-ref!E$4)&lt;0,0,SUM(O29-ref!E$4))</f>
        <v>0</v>
      </c>
      <c r="Q29" s="98">
        <f t="shared" si="22"/>
        <v>1.8013888888888885</v>
      </c>
      <c r="S29" s="137"/>
      <c r="T29" s="92">
        <v>0.57291666666666663</v>
      </c>
      <c r="U29" s="129">
        <v>0.59305555555555556</v>
      </c>
      <c r="V29" s="142">
        <f t="shared" si="18"/>
        <v>2.0138888888888928E-2</v>
      </c>
      <c r="W29" s="141">
        <f>IF(V29="","",IF(SUM(V29-ref!E$38)&gt;0,0,IF(V29=0, "0:00", SUM(V29-ref!E$38))))</f>
        <v>-1.1111111111111072E-2</v>
      </c>
      <c r="X29" s="137"/>
      <c r="Y29" s="92"/>
      <c r="Z29" s="129"/>
      <c r="AA29" s="142">
        <f t="shared" si="23"/>
        <v>0</v>
      </c>
      <c r="AB29" s="245" t="str">
        <f>IF(AA29="","",IF(SUM(AA29-ref!E$38)&gt;0,0,IF(AA29=0, "0:00", SUM(AA29-ref!E$38))))</f>
        <v>0:00</v>
      </c>
      <c r="AC29" s="29"/>
      <c r="AD29" s="106"/>
      <c r="AE29" s="117" t="s">
        <v>47</v>
      </c>
      <c r="AF29" s="77">
        <f t="shared" si="19"/>
        <v>1</v>
      </c>
      <c r="AG29" s="19"/>
      <c r="AH29" s="178" t="s">
        <v>75</v>
      </c>
      <c r="AI29" s="54" t="s">
        <v>68</v>
      </c>
      <c r="AJ29" s="177" t="s">
        <v>76</v>
      </c>
      <c r="AK29" s="55" cm="1">
        <f t="array" ref="AK29">IF(ISNUMBER(G30),G30-_xlfn.AGGREGATE(14,6,(K$4:K29&lt;G30)*K$4:K29,1),"")</f>
        <v>0.80347222222189885</v>
      </c>
      <c r="AL29" s="20">
        <f>IF(ISNUMBER(AK29),ABS(IF(SUM(AK29-ref!E$9)&gt;0,0,SUM(AK29-ref!E$9))),"")</f>
        <v>0</v>
      </c>
      <c r="AQ29"/>
    </row>
    <row r="30" spans="2:43" ht="15.75" thickBot="1" x14ac:dyDescent="0.3">
      <c r="B30"/>
      <c r="C30" s="89"/>
      <c r="D30" s="89"/>
      <c r="E30" s="154">
        <f>E29+1</f>
        <v>43849</v>
      </c>
      <c r="F30" s="159" t="s">
        <v>20</v>
      </c>
      <c r="G30" s="155">
        <f t="shared" si="16"/>
        <v>43849.570833333331</v>
      </c>
      <c r="H30" s="29">
        <v>0.5708333333333333</v>
      </c>
      <c r="I30" s="23">
        <f t="shared" si="21"/>
        <v>0</v>
      </c>
      <c r="J30" s="29">
        <v>0.85763888888888884</v>
      </c>
      <c r="K30" s="46">
        <f t="shared" si="17"/>
        <v>43849.857638888891</v>
      </c>
      <c r="L30" s="21">
        <f>IF(OR(F30="télétravail",F30="férié travaillé",F30="travail"),(J30-H30+IF(H30&gt;J30,1)-I30),INDEX(ref!$E$22:'ref'!$E$37,MATCH(F30,gerald3,0)))</f>
        <v>0.28680555555555554</v>
      </c>
      <c r="M30" s="13">
        <f>IF(SUM(L30-ref!E$8)&lt;0,0,SUM(L30-ref!E$8))</f>
        <v>0</v>
      </c>
      <c r="N30" s="252">
        <f>L30-(hs!D29+hs!F29+hs!H29+hs!J29)</f>
        <v>-0.28680555555555554</v>
      </c>
      <c r="O30" s="8">
        <f>IF(OR(F30="férié travaillé",F30="travail",F30="asa",F30="rtt"),J30-H30+IF(H30&gt;J30,1),INDEX(ref!$E$22:'ref'!$E$37,MATCH(F30,gerald2,0)))</f>
        <v>0.28680555555555554</v>
      </c>
      <c r="P30" s="14">
        <f>IF(SUM(O30-ref!E$4)&lt;0,0,SUM(O30-ref!E$4))</f>
        <v>0</v>
      </c>
      <c r="Q30" s="167">
        <f t="shared" si="22"/>
        <v>2.088194444444444</v>
      </c>
      <c r="S30" s="137"/>
      <c r="T30" s="92"/>
      <c r="U30" s="129"/>
      <c r="V30" s="142">
        <f>U30-T30</f>
        <v>0</v>
      </c>
      <c r="W30" s="141" t="str">
        <f>IF(V30="","",IF(SUM(V30-ref!E$38)&gt;0,0,IF(V30=0, "0:00", SUM(V30-ref!E$38))))</f>
        <v>0:00</v>
      </c>
      <c r="X30" s="137"/>
      <c r="Y30" s="92"/>
      <c r="Z30" s="129"/>
      <c r="AA30" s="142">
        <f>Z30-Y30</f>
        <v>0</v>
      </c>
      <c r="AB30" s="245" t="str">
        <f>IF(AA30="","",IF(SUM(AA30-ref!E$38)&gt;0,0,IF(AA30=0, "0:00", SUM(AA30-ref!E$38))))</f>
        <v>0:00</v>
      </c>
      <c r="AC30" s="29"/>
      <c r="AD30" s="106"/>
      <c r="AE30" s="114">
        <f>ref!E$11</f>
        <v>2</v>
      </c>
      <c r="AF30" s="77">
        <f t="shared" si="19"/>
        <v>1</v>
      </c>
      <c r="AG30" s="19"/>
      <c r="AH30" s="178" t="s">
        <v>76</v>
      </c>
      <c r="AI30" s="54" t="s">
        <v>68</v>
      </c>
      <c r="AJ30" s="177" t="s">
        <v>77</v>
      </c>
      <c r="AK30" s="55" t="str" cm="1">
        <f t="array" ref="AK30">IF(ISNUMBER(G31),G31-_xlfn.AGGREGATE(14,6,(K$4:K30&lt;G31)*K$4:K30,1),"")</f>
        <v/>
      </c>
      <c r="AL30" s="20" t="str">
        <f>IF(ISNUMBER(AK30),ABS(IF(SUM(AK30-ref!E$9)&gt;0,0,SUM(AK30-ref!E$9))),"")</f>
        <v/>
      </c>
      <c r="AQ30"/>
    </row>
    <row r="31" spans="2:43" ht="15.75" thickBot="1" x14ac:dyDescent="0.3">
      <c r="B31"/>
      <c r="C31" s="89"/>
      <c r="D31" s="89"/>
      <c r="E31" s="154">
        <f>E30+1</f>
        <v>43850</v>
      </c>
      <c r="F31" s="160" t="s">
        <v>19</v>
      </c>
      <c r="G31" s="155" t="str">
        <f t="shared" si="16"/>
        <v/>
      </c>
      <c r="H31" s="29"/>
      <c r="I31" s="23">
        <f t="shared" si="21"/>
        <v>0</v>
      </c>
      <c r="J31" s="29"/>
      <c r="K31" s="46" t="str">
        <f t="shared" si="17"/>
        <v/>
      </c>
      <c r="L31" s="21">
        <f>IF(OR(F31="télétravail",F31="férié travaillé",F31="travail"),(J31-H31+IF(H31&gt;J31,1)-I31),INDEX(ref!$E$22:'ref'!$E$37,MATCH(F31,gerald3,0)))</f>
        <v>0</v>
      </c>
      <c r="M31" s="13">
        <f>IF(SUM(L31-ref!E$8)&lt;0,0,SUM(L31-ref!E$8))</f>
        <v>0</v>
      </c>
      <c r="N31" s="252">
        <f>L31-(hs!D30+hs!F30+hs!H30+hs!J30)</f>
        <v>0</v>
      </c>
      <c r="O31" s="8">
        <f>IF(OR(F31="férié travaillé",F31="travail",F31="asa",F31="rtt"),J31-H31+IF(H31&gt;J31,1),INDEX(ref!$E$22:'ref'!$E$37,MATCH(F31,gerald2,0)))</f>
        <v>0</v>
      </c>
      <c r="P31" s="14">
        <f>IF(SUM(O31-ref!E$4)&lt;0,0,SUM(O31-ref!E$4))</f>
        <v>0</v>
      </c>
      <c r="Q31" s="94">
        <f t="shared" si="22"/>
        <v>2.088194444444444</v>
      </c>
      <c r="S31" s="138"/>
      <c r="T31" s="92"/>
      <c r="U31" s="129"/>
      <c r="V31" s="142">
        <f>U31-T31</f>
        <v>0</v>
      </c>
      <c r="W31" s="141" t="str">
        <f>IF(V31="","",IF(SUM(V31-ref!E$38)&gt;0,0,IF(V31=0, "0:00", SUM(V31-ref!E$38))))</f>
        <v>0:00</v>
      </c>
      <c r="X31" s="138"/>
      <c r="Y31" s="92"/>
      <c r="Z31" s="129"/>
      <c r="AA31" s="142">
        <f>Z31-Y31</f>
        <v>0</v>
      </c>
      <c r="AB31" s="246" t="str">
        <f>IF(AA31="","",IF(SUM(AA31-ref!E$38)&gt;0,0,IF(AA31=0, "0:00", SUM(AA31-ref!E$38))))</f>
        <v>0:00</v>
      </c>
      <c r="AC31" s="29"/>
      <c r="AD31" s="106"/>
      <c r="AE31" s="110">
        <f>IF(SUM(Q31-ref!E$11)&lt;0,0,SUM(Q31-ref!E$11))</f>
        <v>8.819444444444402E-2</v>
      </c>
      <c r="AF31" s="77">
        <f t="shared" si="19"/>
        <v>0</v>
      </c>
      <c r="AG31" s="19"/>
      <c r="AQ31"/>
    </row>
    <row r="32" spans="2:43" x14ac:dyDescent="0.25">
      <c r="C32" s="89"/>
      <c r="D32" s="89"/>
      <c r="F32" s="157"/>
      <c r="W32" s="74"/>
      <c r="AA32" s="2"/>
      <c r="AB32" s="2"/>
      <c r="AC32" s="127"/>
      <c r="AQ32"/>
    </row>
    <row r="33" spans="2:43" x14ac:dyDescent="0.25">
      <c r="C33" s="89"/>
      <c r="D33" s="89"/>
      <c r="F33" s="157"/>
      <c r="Q33" s="16"/>
      <c r="R33" s="130"/>
      <c r="AA33" s="2"/>
      <c r="AB33" s="2"/>
      <c r="AC33" s="127"/>
      <c r="AQ33"/>
    </row>
    <row r="34" spans="2:43" ht="15.75" thickBot="1" x14ac:dyDescent="0.3">
      <c r="C34" s="89"/>
      <c r="D34" s="89"/>
      <c r="F34" s="157"/>
      <c r="W34" s="74"/>
      <c r="AA34" s="2"/>
      <c r="AB34" s="2"/>
      <c r="AC34" s="127"/>
      <c r="AQ34"/>
    </row>
    <row r="35" spans="2:43" x14ac:dyDescent="0.25">
      <c r="B35" s="78" t="s">
        <v>1</v>
      </c>
      <c r="C35" s="88" t="s">
        <v>20</v>
      </c>
      <c r="D35" s="88"/>
      <c r="E35" s="154">
        <f>DATE(ref!E$2,B39,B37)</f>
        <v>43851</v>
      </c>
      <c r="F35" s="158" t="s">
        <v>20</v>
      </c>
      <c r="G35" s="155">
        <f t="shared" ref="G35:G41" si="24">IF(AND(J35="",H35=""),"",E35+H35)</f>
        <v>43851.386111111111</v>
      </c>
      <c r="H35" s="29">
        <v>0.38611111111111113</v>
      </c>
      <c r="I35" s="23">
        <f>SUM(V35+AA35+AC35)</f>
        <v>3.4027777777777768E-2</v>
      </c>
      <c r="J35" s="29">
        <v>0.70833333333333337</v>
      </c>
      <c r="K35" s="46">
        <f t="shared" ref="K35:K41" si="25">IF(AND(H35="",J35=""),"",E35+J35+(H35&gt;J35))</f>
        <v>43851.708333333336</v>
      </c>
      <c r="L35" s="21">
        <f>IF(OR(F35="télétravail",F35="férié travaillé",F35="travail"),(J35-H35+IF(H35&gt;J35,1)-I35),INDEX(ref!$E$22:'ref'!$E$37,MATCH(F35,gerald3,0)))</f>
        <v>0.28819444444444448</v>
      </c>
      <c r="M35" s="13">
        <f>IF(SUM(L35-ref!E$8)&lt;0,0,SUM(L35-ref!E$8))</f>
        <v>0</v>
      </c>
      <c r="N35" s="252">
        <f>L35-(hs!D34+hs!F34+hs!H34+hs!J34)</f>
        <v>-3.4027777777777768E-2</v>
      </c>
      <c r="O35" s="8">
        <f>IF(OR(F35="férié travaillé",F35="travail",F35="asa",F35="rtt"),J35-H35+IF(H35&gt;J35,1),INDEX(ref!$E$22:'ref'!$E$37,MATCH(F35,gerald2,0)))</f>
        <v>0.32222222222222224</v>
      </c>
      <c r="P35" s="14">
        <f>IF(SUM(O35-ref!E$4)&lt;0,0,SUM(O35-ref!E$4))</f>
        <v>0</v>
      </c>
      <c r="Q35" s="166">
        <f>L35</f>
        <v>0.28819444444444448</v>
      </c>
      <c r="S35" s="136"/>
      <c r="T35" s="92">
        <v>0.50763888888888886</v>
      </c>
      <c r="U35" s="129">
        <v>0.54166666666666663</v>
      </c>
      <c r="V35" s="142">
        <f t="shared" ref="V35:V41" si="26">U35-T35</f>
        <v>3.4027777777777768E-2</v>
      </c>
      <c r="W35" s="141">
        <f>IF(V35="","",IF(SUM(V35-ref!E$38)&gt;0,0,IF(V35=0, "0:00", SUM(V35-ref!E$38))))</f>
        <v>0</v>
      </c>
      <c r="X35" s="136"/>
      <c r="Y35" s="92"/>
      <c r="Z35" s="129"/>
      <c r="AA35" s="142">
        <f>Z35-Y35</f>
        <v>0</v>
      </c>
      <c r="AB35" s="244" t="str">
        <f>IF(AA35="","",IF(SUM(AA35-ref!E$38)&gt;0,0,IF(AA35=0, "0:00", SUM(AA35-ref!E$38))))</f>
        <v>0:00</v>
      </c>
      <c r="AC35" s="29"/>
      <c r="AD35" s="106"/>
      <c r="AE35" s="111">
        <f>SUM(AF35:AF41)</f>
        <v>5</v>
      </c>
      <c r="AF35" s="77">
        <f t="shared" ref="AF35:AF41" si="27">IF(AND(H35&lt;&gt;"",J35&lt;&gt;""),1,0+OR(N(J34)&lt;N(H34),F35="récupération",F35="congé 1 jour",F35="congé 1/2 jour ",F35="congé 5h24",F35="arrêt maladie",F35="arrêt travail",F35="férié ",F35="congé parentale",F35="congé de naissance"))</f>
        <v>1</v>
      </c>
      <c r="AG35" s="19"/>
      <c r="AH35" s="176" t="s">
        <v>71</v>
      </c>
      <c r="AI35" s="54" t="s">
        <v>68</v>
      </c>
      <c r="AJ35" s="177" t="s">
        <v>72</v>
      </c>
      <c r="AK35" s="55" cm="1">
        <f t="array" ref="AK35">IF(ISNUMBER(G36),G36-_xlfn.AGGREGATE(14,6,(K$4:K35&lt;G36)*K$4:K35,1),"")</f>
        <v>0.66666666666424135</v>
      </c>
      <c r="AL35" s="20">
        <f>IF(ISNUMBER(AK35),ABS(IF(SUM(AK35-ref!E$9)&gt;0,0,SUM(AK35-ref!E$9))),"")</f>
        <v>0</v>
      </c>
      <c r="AQ35"/>
    </row>
    <row r="36" spans="2:43" x14ac:dyDescent="0.25">
      <c r="B36" s="79" t="s">
        <v>1</v>
      </c>
      <c r="C36" s="88" t="s">
        <v>20</v>
      </c>
      <c r="D36" s="88"/>
      <c r="E36" s="154">
        <f t="shared" ref="E36:E41" si="28">E35+1</f>
        <v>43852</v>
      </c>
      <c r="F36" s="159" t="s">
        <v>20</v>
      </c>
      <c r="G36" s="155">
        <f t="shared" si="24"/>
        <v>43852.375</v>
      </c>
      <c r="H36" s="29">
        <v>0.375</v>
      </c>
      <c r="I36" s="23">
        <f t="shared" ref="I36:I41" si="29">SUM(V36+AA36+AC36)</f>
        <v>3.1944444444444331E-2</v>
      </c>
      <c r="J36" s="29">
        <v>0.71944444444444444</v>
      </c>
      <c r="K36" s="46">
        <f t="shared" si="25"/>
        <v>43852.719444444447</v>
      </c>
      <c r="L36" s="21">
        <f>IF(OR(F36="télétravail",F36="férié travaillé",F36="travail"),(J36-H36+IF(H36&gt;J36,1)-I36),INDEX(ref!$E$22:'ref'!$E$37,MATCH(F36,gerald3,0)))</f>
        <v>0.31250000000000011</v>
      </c>
      <c r="M36" s="13">
        <f>IF(SUM(L36-ref!E$8)&lt;0,0,SUM(L36-ref!E$8))</f>
        <v>0</v>
      </c>
      <c r="N36" s="252">
        <f>L36-(hs!D35+hs!F35+hs!H35+hs!J35)</f>
        <v>-3.1944444444444331E-2</v>
      </c>
      <c r="O36" s="8">
        <f>IF(OR(F36="férié travaillé",F36="travail",F36="asa",F36="rtt"),J36-H36+IF(H36&gt;J36,1),INDEX(ref!$E$22:'ref'!$E$37,MATCH(F36,gerald2,0)))</f>
        <v>0.34444444444444444</v>
      </c>
      <c r="P36" s="14">
        <f>IF(SUM(O36-ref!E$4)&lt;0,0,SUM(O36-ref!E$4))</f>
        <v>0</v>
      </c>
      <c r="Q36" s="98">
        <f t="shared" ref="Q36:Q41" si="30">Q35+L36</f>
        <v>0.60069444444444464</v>
      </c>
      <c r="S36" s="137"/>
      <c r="T36" s="92">
        <v>0.54236111111111118</v>
      </c>
      <c r="U36" s="129">
        <v>0.57430555555555551</v>
      </c>
      <c r="V36" s="142">
        <f t="shared" si="26"/>
        <v>3.1944444444444331E-2</v>
      </c>
      <c r="W36" s="141">
        <f>IF(V36="","",IF(SUM(V36-ref!E$38)&gt;0,0,IF(V36=0, "0:00", SUM(V36-ref!E$38))))</f>
        <v>0</v>
      </c>
      <c r="X36" s="137"/>
      <c r="Y36" s="92"/>
      <c r="Z36" s="129"/>
      <c r="AA36" s="142">
        <f t="shared" ref="AA36:AA41" si="31">Z36-Y36</f>
        <v>0</v>
      </c>
      <c r="AB36" s="245" t="str">
        <f>IF(AA36="","",IF(SUM(AA36-ref!E$38)&gt;0,0,IF(AA36=0, "0:00", SUM(AA36-ref!E$38))))</f>
        <v>0:00</v>
      </c>
      <c r="AC36" s="29"/>
      <c r="AD36" s="106"/>
      <c r="AE36" s="112">
        <f>IF(SUM(AE35-ref!E$7)&lt;0,0,SUM(AE35-ref!E$7))</f>
        <v>0</v>
      </c>
      <c r="AF36" s="77">
        <f t="shared" si="27"/>
        <v>1</v>
      </c>
      <c r="AG36" s="19"/>
      <c r="AH36" s="178" t="s">
        <v>72</v>
      </c>
      <c r="AI36" s="54" t="s">
        <v>68</v>
      </c>
      <c r="AJ36" s="177" t="s">
        <v>73</v>
      </c>
      <c r="AK36" s="55" cm="1">
        <f t="array" ref="AK36">IF(ISNUMBER(G37),G37-_xlfn.AGGREGATE(14,6,(K$4:K36&lt;G37)*K$4:K36,1),"")</f>
        <v>0.71388888888759539</v>
      </c>
      <c r="AL36" s="20">
        <f>IF(ISNUMBER(AK36),ABS(IF(SUM(AK36-ref!E$9)&gt;0,0,SUM(AK36-ref!E$9))),"")</f>
        <v>0</v>
      </c>
      <c r="AQ36"/>
    </row>
    <row r="37" spans="2:43" x14ac:dyDescent="0.25">
      <c r="B37" s="80">
        <v>22</v>
      </c>
      <c r="C37" s="88" t="s">
        <v>20</v>
      </c>
      <c r="D37" s="88"/>
      <c r="E37" s="154">
        <f t="shared" si="28"/>
        <v>43853</v>
      </c>
      <c r="F37" s="159" t="s">
        <v>20</v>
      </c>
      <c r="G37" s="155">
        <f t="shared" si="24"/>
        <v>43853.433333333334</v>
      </c>
      <c r="H37" s="29">
        <v>0.43333333333333335</v>
      </c>
      <c r="I37" s="23">
        <f t="shared" si="29"/>
        <v>3.3333333333333437E-2</v>
      </c>
      <c r="J37" s="29">
        <v>0.82916666666666661</v>
      </c>
      <c r="K37" s="46">
        <f t="shared" si="25"/>
        <v>43853.82916666667</v>
      </c>
      <c r="L37" s="21">
        <f>IF(OR(F37="télétravail",F37="férié travaillé",F37="travail"),(J37-H37+IF(H37&gt;J37,1)-I37),INDEX(ref!$E$22:'ref'!$E$37,MATCH(F37,gerald3,0)))</f>
        <v>0.36249999999999982</v>
      </c>
      <c r="M37" s="13">
        <f>IF(SUM(L37-ref!E$8)&lt;0,0,SUM(L37-ref!E$8))</f>
        <v>0</v>
      </c>
      <c r="N37" s="252">
        <f>L37-(hs!D36+hs!F36+hs!H36+hs!J36)</f>
        <v>-9.1666666666666674E-2</v>
      </c>
      <c r="O37" s="8">
        <f>IF(OR(F37="férié travaillé",F37="travail",F37="asa",F37="rtt"),J37-H37+IF(H37&gt;J37,1),INDEX(ref!$E$22:'ref'!$E$37,MATCH(F37,gerald2,0)))</f>
        <v>0.39583333333333326</v>
      </c>
      <c r="P37" s="14">
        <f>IF(SUM(O37-ref!E$4)&lt;0,0,SUM(O37-ref!E$4))</f>
        <v>0</v>
      </c>
      <c r="Q37" s="98">
        <f t="shared" si="30"/>
        <v>0.96319444444444446</v>
      </c>
      <c r="S37" s="137"/>
      <c r="T37" s="92">
        <v>0.54166666666666663</v>
      </c>
      <c r="U37" s="129">
        <v>0.57500000000000007</v>
      </c>
      <c r="V37" s="142">
        <f t="shared" si="26"/>
        <v>3.3333333333333437E-2</v>
      </c>
      <c r="W37" s="141">
        <f>IF(V37="","",IF(SUM(V37-ref!E$38)&gt;0,0,IF(V37=0, "0:00", SUM(V37-ref!E$38))))</f>
        <v>0</v>
      </c>
      <c r="X37" s="137"/>
      <c r="Y37" s="92"/>
      <c r="Z37" s="129"/>
      <c r="AA37" s="142">
        <f t="shared" si="31"/>
        <v>0</v>
      </c>
      <c r="AB37" s="245" t="str">
        <f>IF(AA37="","",IF(SUM(AA37-ref!E$38)&gt;0,0,IF(AA37=0, "0:00", SUM(AA37-ref!E$38))))</f>
        <v>0:00</v>
      </c>
      <c r="AC37" s="29"/>
      <c r="AD37" s="106"/>
      <c r="AE37" s="117" t="s">
        <v>29</v>
      </c>
      <c r="AF37" s="77">
        <f t="shared" si="27"/>
        <v>1</v>
      </c>
      <c r="AG37" s="19"/>
      <c r="AH37" s="178" t="s">
        <v>73</v>
      </c>
      <c r="AI37" s="54" t="s">
        <v>68</v>
      </c>
      <c r="AJ37" s="177" t="s">
        <v>74</v>
      </c>
      <c r="AK37" s="55" cm="1">
        <f t="array" ref="AK37">IF(ISNUMBER(G38),G38-_xlfn.AGGREGATE(14,6,(K$4:K37&lt;G38)*K$4:K37,1),"")</f>
        <v>0.55138888888905058</v>
      </c>
      <c r="AL37" s="20">
        <f>IF(ISNUMBER(AK37),ABS(IF(SUM(AK37-ref!E$9)&gt;0,0,SUM(AK37-ref!E$9))),"")</f>
        <v>0</v>
      </c>
      <c r="AQ37"/>
    </row>
    <row r="38" spans="2:43" x14ac:dyDescent="0.25">
      <c r="B38" s="79" t="s">
        <v>58</v>
      </c>
      <c r="C38" s="88" t="s">
        <v>20</v>
      </c>
      <c r="D38" s="88"/>
      <c r="E38" s="154">
        <f t="shared" si="28"/>
        <v>43854</v>
      </c>
      <c r="F38" s="159" t="s">
        <v>20</v>
      </c>
      <c r="G38" s="155">
        <f t="shared" si="24"/>
        <v>43854.380555555559</v>
      </c>
      <c r="H38" s="29">
        <v>0.38055555555555554</v>
      </c>
      <c r="I38" s="23">
        <f t="shared" si="29"/>
        <v>3.4027777777777879E-2</v>
      </c>
      <c r="J38" s="29">
        <v>0.77222222222222225</v>
      </c>
      <c r="K38" s="46">
        <f t="shared" si="25"/>
        <v>43854.772222222222</v>
      </c>
      <c r="L38" s="21">
        <f>IF(OR(F38="télétravail",F38="férié travaillé",F38="travail"),(J38-H38+IF(H38&gt;J38,1)-I38),INDEX(ref!$E$22:'ref'!$E$37,MATCH(F38,gerald3,0)))</f>
        <v>0.35763888888888884</v>
      </c>
      <c r="M38" s="13">
        <f>IF(SUM(L38-ref!E$8)&lt;0,0,SUM(L38-ref!E$8))</f>
        <v>0</v>
      </c>
      <c r="N38" s="252">
        <f>L38-(hs!D37+hs!F37+hs!H37+hs!J37)</f>
        <v>-3.5416666666666763E-2</v>
      </c>
      <c r="O38" s="8">
        <f>IF(OR(F38="férié travaillé",F38="travail",F38="asa",F38="rtt"),J38-H38+IF(H38&gt;J38,1),INDEX(ref!$E$22:'ref'!$E$37,MATCH(F38,gerald2,0)))</f>
        <v>0.39166666666666672</v>
      </c>
      <c r="P38" s="14">
        <f>IF(SUM(O38-ref!E$4)&lt;0,0,SUM(O38-ref!E$4))</f>
        <v>0</v>
      </c>
      <c r="Q38" s="98">
        <f t="shared" si="30"/>
        <v>1.3208333333333333</v>
      </c>
      <c r="S38" s="137"/>
      <c r="T38" s="92">
        <v>0.52013888888888882</v>
      </c>
      <c r="U38" s="129">
        <v>0.5541666666666667</v>
      </c>
      <c r="V38" s="142">
        <f t="shared" si="26"/>
        <v>3.4027777777777879E-2</v>
      </c>
      <c r="W38" s="141">
        <f>IF(V38="","",IF(SUM(V38-ref!E$38)&gt;0,0,IF(V38=0, "0:00", SUM(V38-ref!E$38))))</f>
        <v>0</v>
      </c>
      <c r="X38" s="137"/>
      <c r="Y38" s="92"/>
      <c r="Z38" s="129"/>
      <c r="AA38" s="142">
        <f t="shared" si="31"/>
        <v>0</v>
      </c>
      <c r="AB38" s="245" t="str">
        <f>IF(AA38="","",IF(SUM(AA38-ref!E$38)&gt;0,0,IF(AA38=0, "0:00", SUM(AA38-ref!E$38))))</f>
        <v>0:00</v>
      </c>
      <c r="AC38" s="29"/>
      <c r="AD38" s="106"/>
      <c r="AE38" s="114">
        <f>Q41</f>
        <v>1.825</v>
      </c>
      <c r="AF38" s="77">
        <f t="shared" si="27"/>
        <v>1</v>
      </c>
      <c r="AG38" s="19"/>
      <c r="AH38" s="178" t="s">
        <v>74</v>
      </c>
      <c r="AI38" s="54" t="s">
        <v>68</v>
      </c>
      <c r="AJ38" s="177" t="s">
        <v>75</v>
      </c>
      <c r="AK38" s="55" cm="1">
        <f t="array" ref="AK38">IF(ISNUMBER(G39),G39-_xlfn.AGGREGATE(14,6,(K$4:K38&lt;G39)*K$4:K38,1),"")</f>
        <v>0.60902777777664596</v>
      </c>
      <c r="AL38" s="20">
        <f>IF(ISNUMBER(AK38),ABS(IF(SUM(AK38-ref!E$9)&gt;0,0,SUM(AK38-ref!E$9))),"")</f>
        <v>0</v>
      </c>
      <c r="AQ38"/>
    </row>
    <row r="39" spans="2:43" x14ac:dyDescent="0.25">
      <c r="B39" s="81">
        <v>1</v>
      </c>
      <c r="C39" s="88" t="s">
        <v>20</v>
      </c>
      <c r="D39" s="88"/>
      <c r="E39" s="154">
        <f t="shared" si="28"/>
        <v>43855</v>
      </c>
      <c r="F39" s="159" t="s">
        <v>20</v>
      </c>
      <c r="G39" s="155">
        <f t="shared" si="24"/>
        <v>43855.381249999999</v>
      </c>
      <c r="H39" s="29">
        <v>0.38125000000000003</v>
      </c>
      <c r="I39" s="23">
        <f t="shared" si="29"/>
        <v>2.0833333333333259E-2</v>
      </c>
      <c r="J39" s="29">
        <v>0.90625</v>
      </c>
      <c r="K39" s="46">
        <f t="shared" si="25"/>
        <v>43855.90625</v>
      </c>
      <c r="L39" s="21">
        <f>IF(OR(F39="télétravail",F39="férié travaillé",F39="travail"),(J39-H39+IF(H39&gt;J39,1)-I39),INDEX(ref!$E$22:'ref'!$E$37,MATCH(F39,gerald3,0)))</f>
        <v>0.50416666666666665</v>
      </c>
      <c r="M39" s="13">
        <f>IF(SUM(L39-ref!E$8)&lt;0,0,SUM(L39-ref!E$8))</f>
        <v>8.7499999999999967E-2</v>
      </c>
      <c r="N39" s="252">
        <f>L39-(hs!D38+hs!F38+hs!H38+hs!J38)</f>
        <v>-0.15624999999999989</v>
      </c>
      <c r="O39" s="8">
        <f>IF(OR(F39="férié travaillé",F39="travail",F39="asa",F39="rtt"),J39-H39+IF(H39&gt;J39,1),INDEX(ref!$E$22:'ref'!$E$37,MATCH(F39,gerald2,0)))</f>
        <v>0.52499999999999991</v>
      </c>
      <c r="P39" s="14">
        <f>IF(SUM(O39-ref!E$4)&lt;0,0,SUM(O39-ref!E$4))</f>
        <v>2.4999999999999911E-2</v>
      </c>
      <c r="Q39" s="98">
        <f t="shared" si="30"/>
        <v>1.825</v>
      </c>
      <c r="S39" s="137"/>
      <c r="T39" s="92">
        <v>0.56180555555555556</v>
      </c>
      <c r="U39" s="129">
        <v>0.58263888888888882</v>
      </c>
      <c r="V39" s="142">
        <f t="shared" si="26"/>
        <v>2.0833333333333259E-2</v>
      </c>
      <c r="W39" s="141">
        <f>IF(V39="","",IF(SUM(V39-ref!E$38)&gt;0,0,IF(V39=0, "0:00", SUM(V39-ref!E$38))))</f>
        <v>-1.0416666666666741E-2</v>
      </c>
      <c r="X39" s="137"/>
      <c r="Y39" s="92"/>
      <c r="Z39" s="129"/>
      <c r="AA39" s="142">
        <f t="shared" si="31"/>
        <v>0</v>
      </c>
      <c r="AB39" s="245" t="str">
        <f>IF(AA39="","",IF(SUM(AA39-ref!E$38)&gt;0,0,IF(AA39=0, "0:00", SUM(AA39-ref!E$38))))</f>
        <v>0:00</v>
      </c>
      <c r="AC39" s="29"/>
      <c r="AD39" s="106"/>
      <c r="AE39" s="117" t="s">
        <v>47</v>
      </c>
      <c r="AF39" s="77">
        <f t="shared" si="27"/>
        <v>1</v>
      </c>
      <c r="AG39" s="19"/>
      <c r="AH39" s="178" t="s">
        <v>75</v>
      </c>
      <c r="AI39" s="54" t="s">
        <v>68</v>
      </c>
      <c r="AJ39" s="177" t="s">
        <v>76</v>
      </c>
      <c r="AK39" s="55" t="str" cm="1">
        <f t="array" ref="AK39">IF(ISNUMBER(G40),G40-_xlfn.AGGREGATE(14,6,(K$4:K39&lt;G40)*K$4:K39,1),"")</f>
        <v/>
      </c>
      <c r="AL39" s="20" t="str">
        <f>IF(ISNUMBER(AK39),ABS(IF(SUM(AK39-ref!E$9)&gt;0,0,SUM(AK39-ref!E$9))),"")</f>
        <v/>
      </c>
      <c r="AQ39"/>
    </row>
    <row r="40" spans="2:43" ht="15.75" thickBot="1" x14ac:dyDescent="0.3">
      <c r="B40"/>
      <c r="C40" s="89"/>
      <c r="D40" s="89"/>
      <c r="E40" s="154">
        <f t="shared" si="28"/>
        <v>43856</v>
      </c>
      <c r="F40" s="159" t="s">
        <v>19</v>
      </c>
      <c r="G40" s="155" t="str">
        <f t="shared" si="24"/>
        <v/>
      </c>
      <c r="H40" s="29"/>
      <c r="I40" s="23">
        <f t="shared" si="29"/>
        <v>0</v>
      </c>
      <c r="J40" s="29"/>
      <c r="K40" s="46" t="str">
        <f t="shared" si="25"/>
        <v/>
      </c>
      <c r="L40" s="21">
        <f>IF(OR(F40="télétravail",F40="férié travaillé",F40="travail"),(J40-H40+IF(H40&gt;J40,1)-I40),INDEX(ref!$E$22:'ref'!$E$37,MATCH(F40,gerald3,0)))</f>
        <v>0</v>
      </c>
      <c r="M40" s="13">
        <f>IF(SUM(L40-ref!E$8)&lt;0,0,SUM(L40-ref!E$8))</f>
        <v>0</v>
      </c>
      <c r="N40" s="252">
        <f>L40-(hs!D39+hs!F39+hs!H39+hs!J39)</f>
        <v>0</v>
      </c>
      <c r="O40" s="8">
        <f>IF(OR(F40="férié travaillé",F40="travail",F40="asa",F40="rtt"),J40-H40+IF(H40&gt;J40,1),INDEX(ref!$E$22:'ref'!$E$37,MATCH(F40,gerald2,0)))</f>
        <v>0</v>
      </c>
      <c r="P40" s="14">
        <f>IF(SUM(O40-ref!E$4)&lt;0,0,SUM(O40-ref!E$4))</f>
        <v>0</v>
      </c>
      <c r="Q40" s="167">
        <f t="shared" si="30"/>
        <v>1.825</v>
      </c>
      <c r="S40" s="137"/>
      <c r="T40" s="92"/>
      <c r="U40" s="129"/>
      <c r="V40" s="142">
        <f t="shared" si="26"/>
        <v>0</v>
      </c>
      <c r="W40" s="141" t="str">
        <f>IF(V40="","",IF(SUM(V40-ref!E$38)&gt;0,0,IF(V40=0, "0:00", SUM(V40-ref!E$38))))</f>
        <v>0:00</v>
      </c>
      <c r="X40" s="137"/>
      <c r="Y40" s="92"/>
      <c r="Z40" s="129"/>
      <c r="AA40" s="142">
        <f t="shared" si="31"/>
        <v>0</v>
      </c>
      <c r="AB40" s="245" t="str">
        <f>IF(AA40="","",IF(SUM(AA40-ref!E$38)&gt;0,0,IF(AA40=0, "0:00", SUM(AA40-ref!E$38))))</f>
        <v>0:00</v>
      </c>
      <c r="AC40" s="29"/>
      <c r="AD40" s="106"/>
      <c r="AE40" s="114">
        <f>ref!E$11</f>
        <v>2</v>
      </c>
      <c r="AF40" s="77">
        <f t="shared" si="27"/>
        <v>0</v>
      </c>
      <c r="AG40" s="19"/>
      <c r="AH40" s="178" t="s">
        <v>76</v>
      </c>
      <c r="AI40" s="54" t="s">
        <v>68</v>
      </c>
      <c r="AJ40" s="177" t="s">
        <v>77</v>
      </c>
      <c r="AK40" s="55" t="str" cm="1">
        <f t="array" ref="AK40">IF(ISNUMBER(G41),G41-_xlfn.AGGREGATE(14,6,(K$4:K40&lt;G41)*K$4:K40,1),"")</f>
        <v/>
      </c>
      <c r="AL40" s="20" t="str">
        <f>IF(ISNUMBER(AK40),ABS(IF(SUM(AK40-ref!E$9)&gt;0,0,SUM(AK40-ref!E$9))),"")</f>
        <v/>
      </c>
      <c r="AQ40"/>
    </row>
    <row r="41" spans="2:43" ht="15.75" thickBot="1" x14ac:dyDescent="0.3">
      <c r="B41"/>
      <c r="C41" s="89"/>
      <c r="D41" s="89"/>
      <c r="E41" s="154">
        <f t="shared" si="28"/>
        <v>43857</v>
      </c>
      <c r="F41" s="160" t="s">
        <v>19</v>
      </c>
      <c r="G41" s="155" t="str">
        <f t="shared" si="24"/>
        <v/>
      </c>
      <c r="H41" s="29"/>
      <c r="I41" s="23">
        <f t="shared" si="29"/>
        <v>0</v>
      </c>
      <c r="J41" s="29"/>
      <c r="K41" s="46" t="str">
        <f t="shared" si="25"/>
        <v/>
      </c>
      <c r="L41" s="21">
        <f>IF(OR(F41="télétravail",F41="férié travaillé",F41="travail"),(J41-H41+IF(H41&gt;J41,1)-I41),INDEX(ref!$E$22:'ref'!$E$37,MATCH(F41,gerald3,0)))</f>
        <v>0</v>
      </c>
      <c r="M41" s="13">
        <f>IF(SUM(L41-ref!E$8)&lt;0,0,SUM(L41-ref!E$8))</f>
        <v>0</v>
      </c>
      <c r="N41" s="252">
        <f>L41-(hs!D40+hs!F40+hs!H40+hs!J40)</f>
        <v>0</v>
      </c>
      <c r="O41" s="8">
        <f>IF(OR(F41="férié travaillé",F41="travail",F41="asa",F41="rtt"),J41-H41+IF(H41&gt;J41,1),INDEX(ref!$E$22:'ref'!$E$37,MATCH(F41,gerald2,0)))</f>
        <v>0</v>
      </c>
      <c r="P41" s="14">
        <f>IF(SUM(O41-ref!E$4)&lt;0,0,SUM(O41-ref!E$4))</f>
        <v>0</v>
      </c>
      <c r="Q41" s="94">
        <f t="shared" si="30"/>
        <v>1.825</v>
      </c>
      <c r="S41" s="138"/>
      <c r="T41" s="92"/>
      <c r="U41" s="129"/>
      <c r="V41" s="142">
        <f t="shared" si="26"/>
        <v>0</v>
      </c>
      <c r="W41" s="141" t="str">
        <f>IF(V41="","",IF(SUM(V41-ref!E$38)&gt;0,0,IF(V41=0, "0:00", SUM(V41-ref!E$38))))</f>
        <v>0:00</v>
      </c>
      <c r="X41" s="138"/>
      <c r="Y41" s="92"/>
      <c r="Z41" s="129"/>
      <c r="AA41" s="142">
        <f t="shared" si="31"/>
        <v>0</v>
      </c>
      <c r="AB41" s="246" t="str">
        <f>IF(AA41="","",IF(SUM(AA41-ref!E$38)&gt;0,0,IF(AA41=0, "0:00", SUM(AA41-ref!E$38))))</f>
        <v>0:00</v>
      </c>
      <c r="AC41" s="29"/>
      <c r="AD41" s="106"/>
      <c r="AE41" s="110">
        <f>IF(SUM(Q41-ref!E$11)&lt;0,0,SUM(Q41-ref!E$11))</f>
        <v>0</v>
      </c>
      <c r="AF41" s="77">
        <f t="shared" si="27"/>
        <v>0</v>
      </c>
      <c r="AG41" s="19"/>
      <c r="AQ41"/>
    </row>
    <row r="42" spans="2:43" x14ac:dyDescent="0.25">
      <c r="C42" s="89"/>
      <c r="D42" s="89"/>
      <c r="F42" s="157"/>
      <c r="AC42" s="127"/>
      <c r="AQ42"/>
    </row>
    <row r="43" spans="2:43" x14ac:dyDescent="0.25">
      <c r="C43" s="89"/>
      <c r="D43" s="89"/>
      <c r="F43" s="157"/>
      <c r="AC43" s="127"/>
      <c r="AQ43"/>
    </row>
    <row r="44" spans="2:43" ht="15.75" thickBot="1" x14ac:dyDescent="0.3">
      <c r="C44" s="89"/>
      <c r="D44" s="89"/>
      <c r="F44" s="157"/>
      <c r="U44" s="74"/>
      <c r="AC44" s="127"/>
      <c r="AQ44"/>
    </row>
    <row r="45" spans="2:43" x14ac:dyDescent="0.25">
      <c r="B45" s="78" t="s">
        <v>1</v>
      </c>
      <c r="C45" s="88" t="s">
        <v>20</v>
      </c>
      <c r="D45" s="88"/>
      <c r="E45" s="154">
        <f>DATE(ref!E$2,B49,B47)</f>
        <v>43858</v>
      </c>
      <c r="F45" s="158" t="s">
        <v>20</v>
      </c>
      <c r="G45" s="155">
        <f t="shared" ref="G45:G51" si="32">IF(AND(J45="",H45=""),"",E45+H45)</f>
        <v>43858.386111111111</v>
      </c>
      <c r="H45" s="29">
        <v>0.38611111111111113</v>
      </c>
      <c r="I45" s="23">
        <f>SUM(V45+AA45+AC45)</f>
        <v>4.5138888888888951E-2</v>
      </c>
      <c r="J45" s="29">
        <v>0.82638888888888884</v>
      </c>
      <c r="K45" s="46">
        <f t="shared" ref="K45:K51" si="33">IF(AND(H45="",J45=""),"",E45+J45+(H45&gt;J45))</f>
        <v>43858.826388888891</v>
      </c>
      <c r="L45" s="21">
        <f>IF(OR(F45="télétravail",F45="férié travaillé",F45="travail"),(J45-H45+IF(H45&gt;J45,1)-I45),INDEX(ref!$E$22:'ref'!$E$37,MATCH(F45,gerald3,0)))</f>
        <v>0.39513888888888876</v>
      </c>
      <c r="M45" s="13">
        <f>IF(SUM(L45-ref!E$8)&lt;0,0,SUM(L45-ref!E$8))</f>
        <v>0</v>
      </c>
      <c r="N45" s="252">
        <f>L45-(hs!D44+hs!F44+hs!H44+hs!J44)</f>
        <v>-0.10069444444444442</v>
      </c>
      <c r="O45" s="8">
        <f>IF(OR(F45="férié travaillé",F45="travail",F45="asa",F45="rtt"),J45-H45+IF(H45&gt;J45,1),INDEX(ref!$E$22:'ref'!$E$37,MATCH(F45,gerald2,0)))</f>
        <v>0.44027777777777771</v>
      </c>
      <c r="P45" s="14">
        <f>IF(SUM(O45-ref!E$4)&lt;0,0,SUM(O45-ref!E$4))</f>
        <v>0</v>
      </c>
      <c r="Q45" s="21">
        <f>L45</f>
        <v>0.39513888888888876</v>
      </c>
      <c r="S45" s="136"/>
      <c r="T45" s="92">
        <v>0.52847222222222223</v>
      </c>
      <c r="U45" s="129">
        <v>0.57361111111111118</v>
      </c>
      <c r="V45" s="142">
        <f t="shared" ref="V45:V51" si="34">U45-T45</f>
        <v>4.5138888888888951E-2</v>
      </c>
      <c r="W45" s="141">
        <f>IF(V45="","",IF(SUM(V45-ref!E$38)&gt;0,0,IF(V45=0, "0:00", SUM(V45-ref!E$38))))</f>
        <v>0</v>
      </c>
      <c r="X45" s="136"/>
      <c r="Y45" s="92"/>
      <c r="Z45" s="247"/>
      <c r="AA45" s="142">
        <f>Z45-Y45</f>
        <v>0</v>
      </c>
      <c r="AB45" s="244" t="str">
        <f>IF(AA45="","",IF(SUM(AA45-ref!E$38)&gt;0,0,IF(AA45=0, "0:00", SUM(AA45-ref!E$38))))</f>
        <v>0:00</v>
      </c>
      <c r="AC45" s="29"/>
      <c r="AD45" s="106"/>
      <c r="AE45" s="111">
        <f>SUM(AF45:AF51)</f>
        <v>5</v>
      </c>
      <c r="AF45" s="77">
        <f t="shared" ref="AF45:AF51" si="35">IF(AND(H45&lt;&gt;"",J45&lt;&gt;""),1,0+OR(N(J44)&lt;N(H44),F45="récupération",F45="congé 1 jour",F45="congé 1/2 jour ",F45="congé 5h24",F45="arrêt maladie",F45="arrêt travail",F45="férié ",F45="congé parentale",F45="congé de naissance"))</f>
        <v>1</v>
      </c>
      <c r="AG45" s="19"/>
      <c r="AH45" s="176" t="s">
        <v>71</v>
      </c>
      <c r="AI45" s="54" t="s">
        <v>68</v>
      </c>
      <c r="AJ45" s="177" t="s">
        <v>72</v>
      </c>
      <c r="AK45" s="55" cm="1">
        <f t="array" ref="AK45">IF(ISNUMBER(G46),G46-_xlfn.AGGREGATE(14,6,(K$4:K45&lt;G46)*K$4:K45,1),"")</f>
        <v>0.55277777777519077</v>
      </c>
      <c r="AL45" s="20">
        <f>IF(ISNUMBER(AK45),ABS(IF(SUM(AK45-ref!E$9)&gt;0,0,SUM(AK45-ref!E$9))),"")</f>
        <v>0</v>
      </c>
      <c r="AQ45"/>
    </row>
    <row r="46" spans="2:43" x14ac:dyDescent="0.25">
      <c r="B46" s="79" t="s">
        <v>1</v>
      </c>
      <c r="C46" s="88" t="s">
        <v>20</v>
      </c>
      <c r="D46" s="88"/>
      <c r="E46" s="154">
        <f t="shared" ref="E46:E51" si="36">E45+1</f>
        <v>43859</v>
      </c>
      <c r="F46" s="159" t="s">
        <v>20</v>
      </c>
      <c r="G46" s="155">
        <f t="shared" si="32"/>
        <v>43859.379166666666</v>
      </c>
      <c r="H46" s="29">
        <v>0.37916666666666665</v>
      </c>
      <c r="I46" s="23">
        <f t="shared" ref="I46:I51" si="37">SUM(V46+AA46+AC46)</f>
        <v>3.472222222222221E-2</v>
      </c>
      <c r="J46" s="29">
        <v>0.77013888888888893</v>
      </c>
      <c r="K46" s="46">
        <f t="shared" si="33"/>
        <v>43859.770138888889</v>
      </c>
      <c r="L46" s="21">
        <f>IF(OR(F46="télétravail",F46="férié travaillé",F46="travail"),(J46-H46+IF(H46&gt;J46,1)-I46),INDEX(ref!$E$22:'ref'!$E$37,MATCH(F46,gerald3,0)))</f>
        <v>0.35625000000000007</v>
      </c>
      <c r="M46" s="13">
        <f>IF(SUM(L46-ref!E$8)&lt;0,0,SUM(L46-ref!E$8))</f>
        <v>0</v>
      </c>
      <c r="N46" s="252">
        <f>L46-(hs!D45+hs!F45+hs!H45+hs!J45)</f>
        <v>-3.472222222222221E-2</v>
      </c>
      <c r="O46" s="8">
        <f>IF(OR(F46="férié travaillé",F46="travail",F46="asa",F46="rtt"),J46-H46+IF(H46&gt;J46,1),INDEX(ref!$E$22:'ref'!$E$37,MATCH(F46,gerald2,0)))</f>
        <v>0.39097222222222228</v>
      </c>
      <c r="P46" s="14">
        <f>IF(SUM(O46-ref!E$4)&lt;0,0,SUM(O46-ref!E$4))</f>
        <v>0</v>
      </c>
      <c r="Q46" s="24">
        <f t="shared" ref="Q46:Q51" si="38">Q45+L46</f>
        <v>0.75138888888888888</v>
      </c>
      <c r="S46" s="137"/>
      <c r="T46" s="92">
        <v>0.52083333333333337</v>
      </c>
      <c r="U46" s="129">
        <v>0.55555555555555558</v>
      </c>
      <c r="V46" s="142">
        <f t="shared" si="34"/>
        <v>3.472222222222221E-2</v>
      </c>
      <c r="W46" s="141">
        <f>IF(V46="","",IF(SUM(V46-ref!E$38)&gt;0,0,IF(V46=0, "0:00", SUM(V46-ref!E$38))))</f>
        <v>0</v>
      </c>
      <c r="X46" s="137"/>
      <c r="Y46" s="92"/>
      <c r="Z46" s="247"/>
      <c r="AA46" s="142">
        <f t="shared" ref="AA46:AA51" si="39">Z46-Y46</f>
        <v>0</v>
      </c>
      <c r="AB46" s="245" t="str">
        <f>IF(AA46="","",IF(SUM(AA46-ref!E$38)&gt;0,0,IF(AA46=0, "0:00", SUM(AA46-ref!E$38))))</f>
        <v>0:00</v>
      </c>
      <c r="AC46" s="29"/>
      <c r="AD46" s="106"/>
      <c r="AE46" s="112">
        <f>IF(SUM(AE45-ref!E$7)&lt;0,0,SUM(AE45-ref!E$7))</f>
        <v>0</v>
      </c>
      <c r="AF46" s="77">
        <f t="shared" si="35"/>
        <v>1</v>
      </c>
      <c r="AG46" s="19"/>
      <c r="AH46" s="178" t="s">
        <v>72</v>
      </c>
      <c r="AI46" s="54" t="s">
        <v>68</v>
      </c>
      <c r="AJ46" s="177" t="s">
        <v>73</v>
      </c>
      <c r="AK46" s="55" cm="1">
        <f t="array" ref="AK46">IF(ISNUMBER(G47),G47-_xlfn.AGGREGATE(14,6,(K$4:K46&lt;G47)*K$4:K46,1),"")</f>
        <v>0.62916666666569654</v>
      </c>
      <c r="AL46" s="20">
        <f>IF(ISNUMBER(AK46),ABS(IF(SUM(AK46-ref!E$9)&gt;0,0,SUM(AK46-ref!E$9))),"")</f>
        <v>0</v>
      </c>
      <c r="AQ46"/>
    </row>
    <row r="47" spans="2:43" x14ac:dyDescent="0.25">
      <c r="B47" s="80">
        <v>29</v>
      </c>
      <c r="C47" s="88" t="s">
        <v>20</v>
      </c>
      <c r="D47" s="88"/>
      <c r="E47" s="154">
        <f t="shared" si="36"/>
        <v>43860</v>
      </c>
      <c r="F47" s="159" t="s">
        <v>20</v>
      </c>
      <c r="G47" s="155">
        <f t="shared" si="32"/>
        <v>43860.399305555555</v>
      </c>
      <c r="H47" s="29">
        <v>0.39930555555555558</v>
      </c>
      <c r="I47" s="23">
        <f t="shared" si="37"/>
        <v>3.472222222222221E-2</v>
      </c>
      <c r="J47" s="29">
        <v>0.76597222222222217</v>
      </c>
      <c r="K47" s="46">
        <f t="shared" si="33"/>
        <v>43860.765972222223</v>
      </c>
      <c r="L47" s="21">
        <f>IF(OR(F47="télétravail",F47="férié travaillé",F47="travail"),(J47-H47+IF(H47&gt;J47,1)-I47),INDEX(ref!$E$22:'ref'!$E$37,MATCH(F47,gerald3,0)))</f>
        <v>0.33194444444444438</v>
      </c>
      <c r="M47" s="13">
        <f>IF(SUM(L47-ref!E$8)&lt;0,0,SUM(L47-ref!E$8))</f>
        <v>0</v>
      </c>
      <c r="N47" s="252">
        <f>L47-(hs!D46+hs!F46+hs!H46+hs!J46)</f>
        <v>-3.472222222222221E-2</v>
      </c>
      <c r="O47" s="8">
        <f>IF(OR(F47="férié travaillé",F47="travail",F47="asa",F47="rtt"),J47-H47+IF(H47&gt;J47,1),INDEX(ref!$E$22:'ref'!$E$37,MATCH(F47,gerald2,0)))</f>
        <v>0.36666666666666659</v>
      </c>
      <c r="P47" s="14">
        <f>IF(SUM(O47-ref!E$4)&lt;0,0,SUM(O47-ref!E$4))</f>
        <v>0</v>
      </c>
      <c r="Q47" s="24">
        <f t="shared" si="38"/>
        <v>1.0833333333333333</v>
      </c>
      <c r="S47" s="137"/>
      <c r="T47" s="92">
        <v>0.52361111111111114</v>
      </c>
      <c r="U47" s="129">
        <v>0.55833333333333335</v>
      </c>
      <c r="V47" s="142">
        <f t="shared" si="34"/>
        <v>3.472222222222221E-2</v>
      </c>
      <c r="W47" s="141">
        <f>IF(V47="","",IF(SUM(V47-ref!E$38)&gt;0,0,IF(V47=0, "0:00", SUM(V47-ref!E$38))))</f>
        <v>0</v>
      </c>
      <c r="X47" s="137"/>
      <c r="Y47" s="92"/>
      <c r="Z47" s="247"/>
      <c r="AA47" s="142">
        <f t="shared" si="39"/>
        <v>0</v>
      </c>
      <c r="AB47" s="245" t="str">
        <f>IF(AA47="","",IF(SUM(AA47-ref!E$38)&gt;0,0,IF(AA47=0, "0:00", SUM(AA47-ref!E$38))))</f>
        <v>0:00</v>
      </c>
      <c r="AC47" s="29"/>
      <c r="AD47" s="106"/>
      <c r="AE47" s="113" t="s">
        <v>29</v>
      </c>
      <c r="AF47" s="77">
        <f t="shared" si="35"/>
        <v>1</v>
      </c>
      <c r="AG47" s="19"/>
      <c r="AH47" s="178" t="s">
        <v>73</v>
      </c>
      <c r="AI47" s="54" t="s">
        <v>68</v>
      </c>
      <c r="AJ47" s="177" t="s">
        <v>74</v>
      </c>
      <c r="AK47" s="55" cm="1">
        <f t="array" ref="AK47">IF(ISNUMBER(G48),G48-_xlfn.AGGREGATE(14,6,(K$4:K47&lt;G48)*K$4:K47,1),"")</f>
        <v>0.61111111110949423</v>
      </c>
      <c r="AL47" s="20">
        <f>IF(ISNUMBER(AK47),ABS(IF(SUM(AK47-ref!E$9)&gt;0,0,SUM(AK47-ref!E$9))),"")</f>
        <v>0</v>
      </c>
      <c r="AQ47"/>
    </row>
    <row r="48" spans="2:43" x14ac:dyDescent="0.25">
      <c r="B48" s="79" t="s">
        <v>58</v>
      </c>
      <c r="C48" s="88" t="s">
        <v>20</v>
      </c>
      <c r="D48" s="88"/>
      <c r="E48" s="154">
        <f t="shared" si="36"/>
        <v>43861</v>
      </c>
      <c r="F48" s="159" t="s">
        <v>20</v>
      </c>
      <c r="G48" s="155">
        <f t="shared" si="32"/>
        <v>43861.377083333333</v>
      </c>
      <c r="H48" s="29">
        <v>0.37708333333333338</v>
      </c>
      <c r="I48" s="23">
        <f t="shared" si="37"/>
        <v>3.2638888888888884E-2</v>
      </c>
      <c r="J48" s="29">
        <v>0.84722222222222221</v>
      </c>
      <c r="K48" s="46">
        <f t="shared" si="33"/>
        <v>43861.847222222219</v>
      </c>
      <c r="L48" s="21">
        <f>IF(OR(F48="télétravail",F48="férié travaillé",F48="travail"),(J48-H48+IF(H48&gt;J48,1)-I48),INDEX(ref!$E$22:'ref'!$E$37,MATCH(F48,gerald3,0)))</f>
        <v>0.43749999999999994</v>
      </c>
      <c r="M48" s="13">
        <f>IF(SUM(L48-ref!E$8)&lt;0,0,SUM(L48-ref!E$8))</f>
        <v>2.0833333333333259E-2</v>
      </c>
      <c r="N48" s="252">
        <f>L48-(hs!D47+hs!F47+hs!H47+hs!J47)</f>
        <v>-0.10902777777777778</v>
      </c>
      <c r="O48" s="8">
        <f>IF(OR(F48="férié travaillé",F48="travail",F48="asa",F48="rtt"),J48-H48+IF(H48&gt;J48,1),INDEX(ref!$E$22:'ref'!$E$37,MATCH(F48,gerald2,0)))</f>
        <v>0.47013888888888883</v>
      </c>
      <c r="P48" s="14">
        <f>IF(SUM(O48-ref!E$4)&lt;0,0,SUM(O48-ref!E$4))</f>
        <v>0</v>
      </c>
      <c r="Q48" s="24">
        <f t="shared" si="38"/>
        <v>1.5208333333333333</v>
      </c>
      <c r="S48" s="137"/>
      <c r="T48" s="92">
        <v>0.52152777777777781</v>
      </c>
      <c r="U48" s="129">
        <v>0.5541666666666667</v>
      </c>
      <c r="V48" s="142">
        <f t="shared" si="34"/>
        <v>3.2638888888888884E-2</v>
      </c>
      <c r="W48" s="141">
        <f>IF(V48="","",IF(SUM(V48-ref!E$38)&gt;0,0,IF(V48=0, "0:00", SUM(V48-ref!E$38))))</f>
        <v>0</v>
      </c>
      <c r="X48" s="137"/>
      <c r="Y48" s="92"/>
      <c r="Z48" s="247"/>
      <c r="AA48" s="142">
        <f t="shared" si="39"/>
        <v>0</v>
      </c>
      <c r="AB48" s="245" t="str">
        <f>IF(AA48="","",IF(SUM(AA48-ref!E$38)&gt;0,0,IF(AA48=0, "0:00", SUM(AA48-ref!E$38))))</f>
        <v>0:00</v>
      </c>
      <c r="AC48" s="29"/>
      <c r="AD48" s="106"/>
      <c r="AE48" s="114">
        <f>Q51</f>
        <v>1.8840277777777776</v>
      </c>
      <c r="AF48" s="77">
        <f t="shared" si="35"/>
        <v>1</v>
      </c>
      <c r="AG48" s="19"/>
      <c r="AH48" s="178" t="s">
        <v>74</v>
      </c>
      <c r="AI48" s="54" t="s">
        <v>68</v>
      </c>
      <c r="AJ48" s="177" t="s">
        <v>75</v>
      </c>
      <c r="AK48" s="55" cm="1">
        <f t="array" ref="AK48">IF(ISNUMBER(G49),G49-_xlfn.AGGREGATE(14,6,(K$4:K48&lt;G49)*K$4:K48,1),"")</f>
        <v>0.53125</v>
      </c>
      <c r="AL48" s="20">
        <f>IF(ISNUMBER(AK48),ABS(IF(SUM(AK48-ref!E$9)&gt;0,0,SUM(AK48-ref!E$9))),"")</f>
        <v>0</v>
      </c>
      <c r="AQ48"/>
    </row>
    <row r="49" spans="2:43" x14ac:dyDescent="0.25">
      <c r="B49" s="81">
        <v>1</v>
      </c>
      <c r="C49" s="88" t="s">
        <v>20</v>
      </c>
      <c r="D49" s="88"/>
      <c r="E49" s="154">
        <f t="shared" si="36"/>
        <v>43862</v>
      </c>
      <c r="F49" s="159" t="s">
        <v>20</v>
      </c>
      <c r="G49" s="155">
        <f t="shared" si="32"/>
        <v>43862.378472222219</v>
      </c>
      <c r="H49" s="29">
        <v>0.37847222222222227</v>
      </c>
      <c r="I49" s="23">
        <f t="shared" si="37"/>
        <v>3.3333333333333326E-2</v>
      </c>
      <c r="J49" s="29">
        <v>0.77500000000000002</v>
      </c>
      <c r="K49" s="46">
        <f t="shared" si="33"/>
        <v>43862.775000000001</v>
      </c>
      <c r="L49" s="21">
        <f>IF(OR(F49="télétravail",F49="férié travaillé",F49="travail"),(J49-H49+IF(H49&gt;J49,1)-I49),INDEX(ref!$E$22:'ref'!$E$37,MATCH(F49,gerald3,0)))</f>
        <v>0.36319444444444443</v>
      </c>
      <c r="M49" s="13">
        <f>IF(SUM(L49-ref!E$8)&lt;0,0,SUM(L49-ref!E$8))</f>
        <v>0</v>
      </c>
      <c r="N49" s="252">
        <f>L49-(hs!D48+hs!F48+hs!H48+hs!J48)</f>
        <v>-3.7499999999999978E-2</v>
      </c>
      <c r="O49" s="8">
        <f>IF(OR(F49="férié travaillé",F49="travail",F49="asa",F49="rtt"),J49-H49+IF(H49&gt;J49,1),INDEX(ref!$E$22:'ref'!$E$37,MATCH(F49,gerald2,0)))</f>
        <v>0.39652777777777776</v>
      </c>
      <c r="P49" s="14">
        <f>IF(SUM(O49-ref!E$4)&lt;0,0,SUM(O49-ref!E$4))</f>
        <v>0</v>
      </c>
      <c r="Q49" s="24">
        <f t="shared" si="38"/>
        <v>1.8840277777777776</v>
      </c>
      <c r="S49" s="137"/>
      <c r="T49" s="92">
        <v>0.50972222222222219</v>
      </c>
      <c r="U49" s="129">
        <v>0.54305555555555551</v>
      </c>
      <c r="V49" s="142">
        <f t="shared" si="34"/>
        <v>3.3333333333333326E-2</v>
      </c>
      <c r="W49" s="141">
        <f>IF(V49="","",IF(SUM(V49-ref!E$38)&gt;0,0,IF(V49=0, "0:00", SUM(V49-ref!E$38))))</f>
        <v>0</v>
      </c>
      <c r="X49" s="137"/>
      <c r="Y49" s="92"/>
      <c r="Z49" s="247"/>
      <c r="AA49" s="142">
        <f t="shared" si="39"/>
        <v>0</v>
      </c>
      <c r="AB49" s="245" t="str">
        <f>IF(AA49="","",IF(SUM(AA49-ref!E$38)&gt;0,0,IF(AA49=0, "0:00", SUM(AA49-ref!E$38))))</f>
        <v>0:00</v>
      </c>
      <c r="AC49" s="29"/>
      <c r="AD49" s="106"/>
      <c r="AE49" s="117" t="s">
        <v>47</v>
      </c>
      <c r="AF49" s="77">
        <f t="shared" si="35"/>
        <v>1</v>
      </c>
      <c r="AG49" s="19"/>
      <c r="AH49" s="178" t="s">
        <v>75</v>
      </c>
      <c r="AI49" s="54" t="s">
        <v>68</v>
      </c>
      <c r="AJ49" s="177" t="s">
        <v>76</v>
      </c>
      <c r="AK49" s="55" t="str" cm="1">
        <f t="array" ref="AK49">IF(ISNUMBER(G50),G50-_xlfn.AGGREGATE(14,6,(K$4:K49&lt;G50)*K$4:K49,1),"")</f>
        <v/>
      </c>
      <c r="AL49" s="20" t="str">
        <f>IF(ISNUMBER(AK49),ABS(IF(SUM(AK49-ref!E$9)&gt;0,0,SUM(AK49-ref!E$9))),"")</f>
        <v/>
      </c>
      <c r="AQ49"/>
    </row>
    <row r="50" spans="2:43" ht="15.75" thickBot="1" x14ac:dyDescent="0.3">
      <c r="B50"/>
      <c r="C50" s="89"/>
      <c r="D50" s="89"/>
      <c r="E50" s="154">
        <f t="shared" si="36"/>
        <v>43863</v>
      </c>
      <c r="F50" s="159" t="s">
        <v>19</v>
      </c>
      <c r="G50" s="155" t="str">
        <f t="shared" si="32"/>
        <v/>
      </c>
      <c r="H50" s="29"/>
      <c r="I50" s="23">
        <f t="shared" si="37"/>
        <v>0</v>
      </c>
      <c r="J50" s="29"/>
      <c r="K50" s="46" t="str">
        <f t="shared" si="33"/>
        <v/>
      </c>
      <c r="L50" s="21">
        <f>IF(OR(F50="télétravail",F50="férié travaillé",F50="travail"),(J50-H50+IF(H50&gt;J50,1)-I50),INDEX(ref!$E$22:'ref'!$E$37,MATCH(F50,gerald3,0)))</f>
        <v>0</v>
      </c>
      <c r="M50" s="13">
        <f>IF(SUM(L50-ref!E$8)&lt;0,0,SUM(L50-ref!E$8))</f>
        <v>0</v>
      </c>
      <c r="N50" s="252">
        <f>L50-(hs!D49+hs!F49+hs!H49+hs!J49)</f>
        <v>0</v>
      </c>
      <c r="O50" s="8">
        <f>IF(OR(F50="férié travaillé",F50="travail",F50="asa",F50="rtt"),J50-H50+IF(H50&gt;J50,1),INDEX(ref!$E$22:'ref'!$E$37,MATCH(F50,gerald2,0)))</f>
        <v>0</v>
      </c>
      <c r="P50" s="14">
        <f>IF(SUM(O50-ref!E$4)&lt;0,0,SUM(O50-ref!E$4))</f>
        <v>0</v>
      </c>
      <c r="Q50" s="97">
        <f t="shared" si="38"/>
        <v>1.8840277777777776</v>
      </c>
      <c r="S50" s="137"/>
      <c r="T50" s="92"/>
      <c r="U50" s="129"/>
      <c r="V50" s="142">
        <f t="shared" si="34"/>
        <v>0</v>
      </c>
      <c r="W50" s="141" t="str">
        <f>IF(V50="","",IF(SUM(V50-ref!E$38)&gt;0,0,IF(V50=0, "0:00", SUM(V50-ref!E$38))))</f>
        <v>0:00</v>
      </c>
      <c r="X50" s="137"/>
      <c r="Y50" s="92"/>
      <c r="Z50" s="247"/>
      <c r="AA50" s="142">
        <f t="shared" si="39"/>
        <v>0</v>
      </c>
      <c r="AB50" s="245" t="str">
        <f>IF(AA50="","",IF(SUM(AA50-ref!E$38)&gt;0,0,IF(AA50=0, "0:00", SUM(AA50-ref!E$38))))</f>
        <v>0:00</v>
      </c>
      <c r="AC50" s="29"/>
      <c r="AD50" s="106"/>
      <c r="AE50" s="118">
        <f>ref!E$11</f>
        <v>2</v>
      </c>
      <c r="AF50" s="77">
        <f t="shared" si="35"/>
        <v>0</v>
      </c>
      <c r="AG50" s="19"/>
      <c r="AH50" s="178" t="s">
        <v>76</v>
      </c>
      <c r="AI50" s="54" t="s">
        <v>68</v>
      </c>
      <c r="AJ50" s="177" t="s">
        <v>77</v>
      </c>
      <c r="AK50" s="55" t="str" cm="1">
        <f t="array" ref="AK50">IF(ISNUMBER(G51),G51-_xlfn.AGGREGATE(14,6,(K$4:K50&lt;G51)*K$4:K50,1),"")</f>
        <v/>
      </c>
      <c r="AL50" s="20" t="str">
        <f>IF(ISNUMBER(AK50),ABS(IF(SUM(AK50-ref!E$9)&gt;0,0,SUM(AK50-ref!E$9))),"")</f>
        <v/>
      </c>
      <c r="AQ50"/>
    </row>
    <row r="51" spans="2:43" ht="15.75" thickBot="1" x14ac:dyDescent="0.3">
      <c r="B51"/>
      <c r="C51" s="89"/>
      <c r="D51" s="89"/>
      <c r="E51" s="154">
        <f t="shared" si="36"/>
        <v>43864</v>
      </c>
      <c r="F51" s="160" t="s">
        <v>19</v>
      </c>
      <c r="G51" s="155" t="str">
        <f t="shared" si="32"/>
        <v/>
      </c>
      <c r="H51" s="29"/>
      <c r="I51" s="23">
        <f t="shared" si="37"/>
        <v>0</v>
      </c>
      <c r="J51" s="29"/>
      <c r="K51" s="46" t="str">
        <f t="shared" si="33"/>
        <v/>
      </c>
      <c r="L51" s="21">
        <f>IF(OR(F51="télétravail",F51="férié travaillé",F51="travail"),(J51-H51+IF(H51&gt;J51,1)-I51),INDEX(ref!$E$22:'ref'!$E$37,MATCH(F51,gerald3,0)))</f>
        <v>0</v>
      </c>
      <c r="M51" s="13">
        <f>IF(SUM(L51-ref!E$8)&lt;0,0,SUM(L51-ref!E$8))</f>
        <v>0</v>
      </c>
      <c r="N51" s="252">
        <f>L51-(hs!D50+hs!F50+hs!H50+hs!J50)</f>
        <v>0</v>
      </c>
      <c r="O51" s="8">
        <f>IF(OR(F51="férié travaillé",F51="travail",F51="asa",F51="rtt"),J51-H51+IF(H51&gt;J51,1),INDEX(ref!$E$22:'ref'!$E$37,MATCH(F51,gerald2,0)))</f>
        <v>0</v>
      </c>
      <c r="P51" s="14">
        <f>IF(SUM(O51-ref!E$4)&lt;0,0,SUM(O51-ref!E$4))</f>
        <v>0</v>
      </c>
      <c r="Q51" s="94">
        <f t="shared" si="38"/>
        <v>1.8840277777777776</v>
      </c>
      <c r="S51" s="138"/>
      <c r="T51" s="92"/>
      <c r="U51" s="129"/>
      <c r="V51" s="142">
        <f t="shared" si="34"/>
        <v>0</v>
      </c>
      <c r="W51" s="141" t="str">
        <f>IF(V51="","",IF(SUM(V51-ref!E$38)&gt;0,0,IF(V51=0, "0:00", SUM(V51-ref!E$38))))</f>
        <v>0:00</v>
      </c>
      <c r="X51" s="138"/>
      <c r="Y51" s="92"/>
      <c r="Z51" s="247"/>
      <c r="AA51" s="142">
        <f t="shared" si="39"/>
        <v>0</v>
      </c>
      <c r="AB51" s="246" t="str">
        <f>IF(AA51="","",IF(SUM(AA51-ref!E$38)&gt;0,0,IF(AA51=0, "0:00", SUM(AA51-ref!E$38))))</f>
        <v>0:00</v>
      </c>
      <c r="AC51" s="29"/>
      <c r="AD51" s="106"/>
      <c r="AE51" s="110">
        <f>IF(SUM(Q51-ref!E$11)&lt;0,0,SUM(Q51-ref!E$11))</f>
        <v>0</v>
      </c>
      <c r="AF51" s="77">
        <f t="shared" si="35"/>
        <v>0</v>
      </c>
      <c r="AG51" s="19"/>
      <c r="AQ51"/>
    </row>
    <row r="52" spans="2:43" x14ac:dyDescent="0.25">
      <c r="C52" s="89"/>
      <c r="D52" s="89"/>
      <c r="F52" s="157"/>
      <c r="W52" s="74"/>
      <c r="X52" s="2"/>
      <c r="Z52"/>
      <c r="AA52" s="2"/>
      <c r="AB52" s="2"/>
      <c r="AC52" s="127"/>
      <c r="AQ52"/>
    </row>
    <row r="53" spans="2:43" x14ac:dyDescent="0.25">
      <c r="C53" s="89"/>
      <c r="D53" s="89"/>
      <c r="F53" s="157"/>
      <c r="Q53" s="16"/>
      <c r="X53" s="2"/>
      <c r="Z53"/>
      <c r="AA53" s="2"/>
      <c r="AB53" s="2"/>
      <c r="AC53" s="127"/>
      <c r="AQ53"/>
    </row>
    <row r="54" spans="2:43" ht="15.75" thickBot="1" x14ac:dyDescent="0.3">
      <c r="C54" s="89"/>
      <c r="D54" s="89"/>
      <c r="F54" s="157"/>
      <c r="W54" s="74"/>
      <c r="X54" s="2"/>
      <c r="Z54"/>
      <c r="AA54" s="2"/>
      <c r="AB54" s="2"/>
      <c r="AC54" s="127"/>
      <c r="AQ54"/>
    </row>
    <row r="55" spans="2:43" x14ac:dyDescent="0.25">
      <c r="B55" s="78" t="s">
        <v>1</v>
      </c>
      <c r="C55" s="88" t="s">
        <v>20</v>
      </c>
      <c r="D55" s="88"/>
      <c r="E55" s="154">
        <f>DATE(ref!E$2,B59,B57)</f>
        <v>43865</v>
      </c>
      <c r="F55" s="158" t="s">
        <v>20</v>
      </c>
      <c r="G55" s="155">
        <f t="shared" ref="G55:G61" si="40">IF(AND(J55="",H55=""),"",E55+H55)</f>
        <v>43865.37777777778</v>
      </c>
      <c r="H55" s="29">
        <v>0.37777777777777777</v>
      </c>
      <c r="I55" s="23">
        <f>SUM(V55+AA55+AC55)</f>
        <v>3.3333333333333437E-2</v>
      </c>
      <c r="J55" s="29">
        <v>0.71388888888888891</v>
      </c>
      <c r="K55" s="46">
        <f t="shared" ref="K55:K61" si="41">IF(AND(H55="",J55=""),"",E55+J55+(H55&gt;J55))</f>
        <v>43865.713888888888</v>
      </c>
      <c r="L55" s="21">
        <f>IF(OR(F55="télétravail",F55="férié travaillé",F55="travail"),(J55-H55+IF(H55&gt;J55,1)-I55),INDEX(ref!$E$22:'ref'!$E$37,MATCH(F55,gerald3,0)))</f>
        <v>0.3027777777777777</v>
      </c>
      <c r="M55" s="13">
        <f>IF(SUM(L55-ref!E$8)&lt;0,0,SUM(L55-ref!E$8))</f>
        <v>0</v>
      </c>
      <c r="N55" s="252">
        <f>L55-(hs!D54+hs!F54+hs!H54+hs!J54)</f>
        <v>-3.3333333333333437E-2</v>
      </c>
      <c r="O55" s="8">
        <f>IF(OR(F55="férié travaillé",F55="travail",F55="asa",F55="rtt"),J55-H55+IF(H55&gt;J55,1),INDEX(ref!$E$22:'ref'!$E$37,MATCH(F55,gerald2,0)))</f>
        <v>0.33611111111111114</v>
      </c>
      <c r="P55" s="14">
        <f>IF(SUM(O55-ref!E$4)&lt;0,0,SUM(O55-ref!E$4))</f>
        <v>0</v>
      </c>
      <c r="Q55" s="21">
        <f>L55</f>
        <v>0.3027777777777777</v>
      </c>
      <c r="S55" s="136"/>
      <c r="T55" s="92">
        <v>0.51597222222222217</v>
      </c>
      <c r="U55" s="129">
        <v>0.5493055555555556</v>
      </c>
      <c r="V55" s="142">
        <f t="shared" ref="V55:V61" si="42">U55-T55</f>
        <v>3.3333333333333437E-2</v>
      </c>
      <c r="W55" s="141">
        <f>IF(V55="","",IF(SUM(V55-ref!E$38)&gt;0,0,IF(V55=0, "0:00", SUM(V55-ref!E$38))))</f>
        <v>0</v>
      </c>
      <c r="X55" s="136"/>
      <c r="Y55" s="92"/>
      <c r="Z55" s="247"/>
      <c r="AA55" s="142">
        <f>Z55-Y55</f>
        <v>0</v>
      </c>
      <c r="AB55" s="244" t="str">
        <f>IF(AA55="","",IF(SUM(AA55-ref!E$38)&gt;0,0,IF(AA55=0, "0:00", SUM(AA55-ref!E$38))))</f>
        <v>0:00</v>
      </c>
      <c r="AC55" s="29"/>
      <c r="AD55" s="106"/>
      <c r="AE55" s="111">
        <f>SUM(AF55:AF61)</f>
        <v>5</v>
      </c>
      <c r="AF55" s="77">
        <f t="shared" ref="AF55:AF61" si="43">IF(AND(H55&lt;&gt;"",J55&lt;&gt;""),1,0+OR(N(J54)&lt;N(H54),F55="récupération",F55="congé 1 jour",F55="congé 1/2 jour ",F55="congé 5h24",F55="arrêt maladie",F55="arrêt travail",F55="férié ",F55="congé parentale",F55="congé de naissance"))</f>
        <v>1</v>
      </c>
      <c r="AG55" s="19"/>
      <c r="AH55" s="176" t="s">
        <v>71</v>
      </c>
      <c r="AI55" s="54" t="s">
        <v>68</v>
      </c>
      <c r="AJ55" s="177" t="s">
        <v>72</v>
      </c>
      <c r="AK55" s="55" cm="1">
        <f t="array" ref="AK55">IF(ISNUMBER(G56),G56-_xlfn.AGGREGATE(14,6,(K$4:K55&lt;G56)*K$4:K55,1),"")</f>
        <v>0.66597222222480923</v>
      </c>
      <c r="AL55" s="20">
        <f>IF(ISNUMBER(AK55),ABS(IF(SUM(AK55-ref!E$9)&gt;0,0,SUM(AK55-ref!E$9))),"")</f>
        <v>0</v>
      </c>
      <c r="AQ55"/>
    </row>
    <row r="56" spans="2:43" x14ac:dyDescent="0.25">
      <c r="B56" s="79" t="s">
        <v>1</v>
      </c>
      <c r="C56" s="88" t="s">
        <v>20</v>
      </c>
      <c r="D56" s="88"/>
      <c r="E56" s="154">
        <f t="shared" ref="E56:E61" si="44">E55+1</f>
        <v>43866</v>
      </c>
      <c r="F56" s="159" t="s">
        <v>20</v>
      </c>
      <c r="G56" s="155">
        <f t="shared" si="40"/>
        <v>43866.379861111112</v>
      </c>
      <c r="H56" s="29">
        <v>0.37986111111111115</v>
      </c>
      <c r="I56" s="23">
        <f t="shared" ref="I56:I61" si="45">SUM(V56+AA56+AC56)</f>
        <v>3.125E-2</v>
      </c>
      <c r="J56" s="29">
        <v>0.83333333333333337</v>
      </c>
      <c r="K56" s="46">
        <f t="shared" si="41"/>
        <v>43866.833333333336</v>
      </c>
      <c r="L56" s="21">
        <f>IF(OR(F56="télétravail",F56="férié travaillé",F56="travail"),(J56-H56+IF(H56&gt;J56,1)-I56),INDEX(ref!$E$22:'ref'!$E$37,MATCH(F56,gerald3,0)))</f>
        <v>0.42222222222222222</v>
      </c>
      <c r="M56" s="13">
        <f>IF(SUM(L56-ref!E$8)&lt;0,0,SUM(L56-ref!E$8))</f>
        <v>5.5555555555555358E-3</v>
      </c>
      <c r="N56" s="252">
        <f>L56-(hs!D55+hs!F55+hs!H55+hs!J55)</f>
        <v>-9.3750000000000056E-2</v>
      </c>
      <c r="O56" s="8">
        <f>IF(OR(F56="férié travaillé",F56="travail",F56="asa",F56="rtt"),J56-H56+IF(H56&gt;J56,1),INDEX(ref!$E$22:'ref'!$E$37,MATCH(F56,gerald2,0)))</f>
        <v>0.45347222222222222</v>
      </c>
      <c r="P56" s="14">
        <f>IF(SUM(O56-ref!E$4)&lt;0,0,SUM(O56-ref!E$4))</f>
        <v>0</v>
      </c>
      <c r="Q56" s="24">
        <f t="shared" ref="Q56:Q61" si="46">Q55+L56</f>
        <v>0.72499999999999987</v>
      </c>
      <c r="S56" s="137"/>
      <c r="T56" s="92">
        <v>0.54513888888888895</v>
      </c>
      <c r="U56" s="129">
        <v>0.57638888888888895</v>
      </c>
      <c r="V56" s="142">
        <f t="shared" si="42"/>
        <v>3.125E-2</v>
      </c>
      <c r="W56" s="141">
        <f>IF(V56="","",IF(SUM(V56-ref!E$38)&gt;0,0,IF(V56=0, "0:00", SUM(V56-ref!E$38))))</f>
        <v>0</v>
      </c>
      <c r="X56" s="137"/>
      <c r="Y56" s="92"/>
      <c r="Z56" s="247"/>
      <c r="AA56" s="142">
        <f t="shared" ref="AA56:AA61" si="47">Z56-Y56</f>
        <v>0</v>
      </c>
      <c r="AB56" s="245" t="str">
        <f>IF(AA56="","",IF(SUM(AA56-ref!E$38)&gt;0,0,IF(AA56=0, "0:00", SUM(AA56-ref!E$38))))</f>
        <v>0:00</v>
      </c>
      <c r="AC56" s="29"/>
      <c r="AD56" s="106"/>
      <c r="AE56" s="112">
        <f>IF(SUM(AE55-ref!E$7)&lt;0,0,SUM(AE55-ref!E$7))</f>
        <v>0</v>
      </c>
      <c r="AF56" s="77">
        <f t="shared" si="43"/>
        <v>1</v>
      </c>
      <c r="AG56" s="19"/>
      <c r="AH56" s="178" t="s">
        <v>72</v>
      </c>
      <c r="AI56" s="54" t="s">
        <v>68</v>
      </c>
      <c r="AJ56" s="177" t="s">
        <v>73</v>
      </c>
      <c r="AK56" s="55" cm="1">
        <f t="array" ref="AK56">IF(ISNUMBER(G57),G57-_xlfn.AGGREGATE(14,6,(K$4:K56&lt;G57)*K$4:K56,1),"")</f>
        <v>0.58333333332848269</v>
      </c>
      <c r="AL56" s="20">
        <f>IF(ISNUMBER(AK56),ABS(IF(SUM(AK56-ref!E$9)&gt;0,0,SUM(AK56-ref!E$9))),"")</f>
        <v>0</v>
      </c>
      <c r="AQ56"/>
    </row>
    <row r="57" spans="2:43" x14ac:dyDescent="0.25">
      <c r="B57" s="80">
        <v>5</v>
      </c>
      <c r="C57" s="88" t="s">
        <v>20</v>
      </c>
      <c r="D57" s="88"/>
      <c r="E57" s="154">
        <f t="shared" si="44"/>
        <v>43867</v>
      </c>
      <c r="F57" s="159" t="s">
        <v>20</v>
      </c>
      <c r="G57" s="155">
        <f t="shared" si="40"/>
        <v>43867.416666666664</v>
      </c>
      <c r="H57" s="29">
        <v>0.41666666666666669</v>
      </c>
      <c r="I57" s="23">
        <f t="shared" si="45"/>
        <v>4.166666666666663E-2</v>
      </c>
      <c r="J57" s="29">
        <v>0.7680555555555556</v>
      </c>
      <c r="K57" s="46">
        <f t="shared" si="41"/>
        <v>43867.768055555556</v>
      </c>
      <c r="L57" s="21">
        <f>IF(OR(F57="télétravail",F57="férié travaillé",F57="travail"),(J57-H57+IF(H57&gt;J57,1)-I57),INDEX(ref!$E$22:'ref'!$E$37,MATCH(F57,gerald3,0)))</f>
        <v>0.30972222222222229</v>
      </c>
      <c r="M57" s="13">
        <f>IF(SUM(L57-ref!E$8)&lt;0,0,SUM(L57-ref!E$8))</f>
        <v>0</v>
      </c>
      <c r="N57" s="252">
        <f>L57-(hs!D56+hs!F56+hs!H56+hs!J56)</f>
        <v>-4.166666666666663E-2</v>
      </c>
      <c r="O57" s="8">
        <f>IF(OR(F57="férié travaillé",F57="travail",F57="asa",F57="rtt"),J57-H57+IF(H57&gt;J57,1),INDEX(ref!$E$22:'ref'!$E$37,MATCH(F57,gerald2,0)))</f>
        <v>0.35138888888888892</v>
      </c>
      <c r="P57" s="14">
        <f>IF(SUM(O57-ref!E$4)&lt;0,0,SUM(O57-ref!E$4))</f>
        <v>0</v>
      </c>
      <c r="Q57" s="24">
        <f t="shared" si="46"/>
        <v>1.0347222222222221</v>
      </c>
      <c r="S57" s="137"/>
      <c r="T57" s="92">
        <v>0.51250000000000007</v>
      </c>
      <c r="U57" s="129">
        <v>0.5541666666666667</v>
      </c>
      <c r="V57" s="142">
        <f t="shared" si="42"/>
        <v>4.166666666666663E-2</v>
      </c>
      <c r="W57" s="141">
        <f>IF(V57="","",IF(SUM(V57-ref!E$38)&gt;0,0,IF(V57=0, "0:00", SUM(V57-ref!E$38))))</f>
        <v>0</v>
      </c>
      <c r="X57" s="137"/>
      <c r="Y57" s="92"/>
      <c r="Z57" s="247"/>
      <c r="AA57" s="142">
        <f t="shared" si="47"/>
        <v>0</v>
      </c>
      <c r="AB57" s="245" t="str">
        <f>IF(AA57="","",IF(SUM(AA57-ref!E$38)&gt;0,0,IF(AA57=0, "0:00", SUM(AA57-ref!E$38))))</f>
        <v>0:00</v>
      </c>
      <c r="AC57" s="29"/>
      <c r="AD57" s="106"/>
      <c r="AE57" s="113" t="s">
        <v>29</v>
      </c>
      <c r="AF57" s="77">
        <f t="shared" si="43"/>
        <v>1</v>
      </c>
      <c r="AG57" s="19"/>
      <c r="AH57" s="178" t="s">
        <v>73</v>
      </c>
      <c r="AI57" s="54" t="s">
        <v>68</v>
      </c>
      <c r="AJ57" s="177" t="s">
        <v>74</v>
      </c>
      <c r="AK57" s="55" cm="1">
        <f t="array" ref="AK57">IF(ISNUMBER(G58),G58-_xlfn.AGGREGATE(14,6,(K$4:K57&lt;G58)*K$4:K57,1),"")</f>
        <v>0.61597222222189885</v>
      </c>
      <c r="AL57" s="20">
        <f>IF(ISNUMBER(AK57),ABS(IF(SUM(AK57-ref!E$9)&gt;0,0,SUM(AK57-ref!E$9))),"")</f>
        <v>0</v>
      </c>
      <c r="AQ57"/>
    </row>
    <row r="58" spans="2:43" x14ac:dyDescent="0.25">
      <c r="B58" s="79" t="s">
        <v>58</v>
      </c>
      <c r="C58" s="88" t="s">
        <v>20</v>
      </c>
      <c r="D58" s="88"/>
      <c r="E58" s="154">
        <f t="shared" si="44"/>
        <v>43868</v>
      </c>
      <c r="F58" s="159" t="s">
        <v>20</v>
      </c>
      <c r="G58" s="155">
        <f t="shared" si="40"/>
        <v>43868.384027777778</v>
      </c>
      <c r="H58" s="29">
        <v>0.3840277777777778</v>
      </c>
      <c r="I58" s="23">
        <f t="shared" si="45"/>
        <v>3.6111111111111094E-2</v>
      </c>
      <c r="J58" s="29">
        <v>0.9375</v>
      </c>
      <c r="K58" s="46">
        <f t="shared" si="41"/>
        <v>43868.9375</v>
      </c>
      <c r="L58" s="21">
        <f>IF(OR(F58="télétravail",F58="férié travaillé",F58="travail"),(J58-H58+IF(H58&gt;J58,1)-I58),INDEX(ref!$E$22:'ref'!$E$37,MATCH(F58,gerald3,0)))</f>
        <v>0.51736111111111105</v>
      </c>
      <c r="M58" s="13">
        <f>IF(SUM(L58-ref!E$8)&lt;0,0,SUM(L58-ref!E$8))</f>
        <v>0.10069444444444436</v>
      </c>
      <c r="N58" s="252">
        <f>L58-(hs!D57+hs!F57+hs!H57+hs!J57)</f>
        <v>-0.20277777777777772</v>
      </c>
      <c r="O58" s="8">
        <f>IF(OR(F58="férié travaillé",F58="travail",F58="asa",F58="rtt"),J58-H58+IF(H58&gt;J58,1),INDEX(ref!$E$22:'ref'!$E$37,MATCH(F58,gerald2,0)))</f>
        <v>0.55347222222222214</v>
      </c>
      <c r="P58" s="14">
        <f>IF(SUM(O58-ref!E$4)&lt;0,0,SUM(O58-ref!E$4))</f>
        <v>5.3472222222222143E-2</v>
      </c>
      <c r="Q58" s="24">
        <f t="shared" si="46"/>
        <v>1.552083333333333</v>
      </c>
      <c r="S58" s="137"/>
      <c r="T58" s="92">
        <v>0.52361111111111114</v>
      </c>
      <c r="U58" s="129">
        <v>0.55972222222222223</v>
      </c>
      <c r="V58" s="142">
        <f t="shared" si="42"/>
        <v>3.6111111111111094E-2</v>
      </c>
      <c r="W58" s="141">
        <f>IF(V58="","",IF(SUM(V58-ref!E$38)&gt;0,0,IF(V58=0, "0:00", SUM(V58-ref!E$38))))</f>
        <v>0</v>
      </c>
      <c r="X58" s="137"/>
      <c r="Y58" s="92"/>
      <c r="Z58" s="247"/>
      <c r="AA58" s="142">
        <f t="shared" si="47"/>
        <v>0</v>
      </c>
      <c r="AB58" s="245" t="str">
        <f>IF(AA58="","",IF(SUM(AA58-ref!E$38)&gt;0,0,IF(AA58=0, "0:00", SUM(AA58-ref!E$38))))</f>
        <v>0:00</v>
      </c>
      <c r="AC58" s="29"/>
      <c r="AD58" s="106"/>
      <c r="AE58" s="114">
        <f>Q61</f>
        <v>1.9111111111111108</v>
      </c>
      <c r="AF58" s="77">
        <f t="shared" si="43"/>
        <v>1</v>
      </c>
      <c r="AG58" s="19"/>
      <c r="AH58" s="178" t="s">
        <v>74</v>
      </c>
      <c r="AI58" s="54" t="s">
        <v>68</v>
      </c>
      <c r="AJ58" s="177" t="s">
        <v>75</v>
      </c>
      <c r="AK58" s="55" cm="1">
        <f t="array" ref="AK58">IF(ISNUMBER(G59),G59-_xlfn.AGGREGATE(14,6,(K$4:K58&lt;G59)*K$4:K58,1),"")</f>
        <v>0.44583333333139308</v>
      </c>
      <c r="AL58" s="20">
        <f>IF(ISNUMBER(AK58),ABS(IF(SUM(AK58-ref!E$9)&gt;0,0,SUM(AK58-ref!E$9))),"")</f>
        <v>1.2500000001940237E-2</v>
      </c>
      <c r="AQ58"/>
    </row>
    <row r="59" spans="2:43" x14ac:dyDescent="0.25">
      <c r="B59" s="81">
        <v>2</v>
      </c>
      <c r="C59" s="88" t="s">
        <v>20</v>
      </c>
      <c r="D59" s="88"/>
      <c r="E59" s="154">
        <f t="shared" si="44"/>
        <v>43869</v>
      </c>
      <c r="F59" s="159" t="s">
        <v>20</v>
      </c>
      <c r="G59" s="155">
        <f t="shared" si="40"/>
        <v>43869.383333333331</v>
      </c>
      <c r="H59" s="29">
        <v>0.3833333333333333</v>
      </c>
      <c r="I59" s="23">
        <f t="shared" si="45"/>
        <v>1.2500000000000067E-2</v>
      </c>
      <c r="J59" s="29">
        <v>0.75486111111111109</v>
      </c>
      <c r="K59" s="46">
        <f t="shared" si="41"/>
        <v>43869.754861111112</v>
      </c>
      <c r="L59" s="21">
        <f>IF(OR(F59="télétravail",F59="férié travaillé",F59="travail"),(J59-H59+IF(H59&gt;J59,1)-I59),INDEX(ref!$E$22:'ref'!$E$37,MATCH(F59,gerald3,0)))</f>
        <v>0.35902777777777772</v>
      </c>
      <c r="M59" s="13">
        <f>IF(SUM(L59-ref!E$8)&lt;0,0,SUM(L59-ref!E$8))</f>
        <v>0</v>
      </c>
      <c r="N59" s="252">
        <f>L59-(hs!D58+hs!F58+hs!H58+hs!J58)</f>
        <v>-1.2500000000000067E-2</v>
      </c>
      <c r="O59" s="8">
        <f>IF(OR(F59="férié travaillé",F59="travail",F59="asa",F59="rtt"),J59-H59+IF(H59&gt;J59,1),INDEX(ref!$E$22:'ref'!$E$37,MATCH(F59,gerald2,0)))</f>
        <v>0.37152777777777779</v>
      </c>
      <c r="P59" s="14">
        <f>IF(SUM(O59-ref!E$4)&lt;0,0,SUM(O59-ref!E$4))</f>
        <v>0</v>
      </c>
      <c r="Q59" s="24">
        <f t="shared" si="46"/>
        <v>1.9111111111111108</v>
      </c>
      <c r="S59" s="137"/>
      <c r="T59" s="92">
        <v>0.57291666666666663</v>
      </c>
      <c r="U59" s="129">
        <v>0.5854166666666667</v>
      </c>
      <c r="V59" s="142">
        <f t="shared" si="42"/>
        <v>1.2500000000000067E-2</v>
      </c>
      <c r="W59" s="141">
        <f>IF(V59="","",IF(SUM(V59-ref!E$38)&gt;0,0,IF(V59=0, "0:00", SUM(V59-ref!E$38))))</f>
        <v>-1.8749999999999933E-2</v>
      </c>
      <c r="X59" s="137"/>
      <c r="Y59" s="92"/>
      <c r="Z59" s="247"/>
      <c r="AA59" s="142">
        <f t="shared" si="47"/>
        <v>0</v>
      </c>
      <c r="AB59" s="245" t="str">
        <f>IF(AA59="","",IF(SUM(AA59-ref!E$38)&gt;0,0,IF(AA59=0, "0:00", SUM(AA59-ref!E$38))))</f>
        <v>0:00</v>
      </c>
      <c r="AC59" s="29"/>
      <c r="AD59" s="106"/>
      <c r="AE59" s="117" t="s">
        <v>47</v>
      </c>
      <c r="AF59" s="77">
        <f t="shared" si="43"/>
        <v>1</v>
      </c>
      <c r="AG59" s="19"/>
      <c r="AH59" s="178" t="s">
        <v>75</v>
      </c>
      <c r="AI59" s="54" t="s">
        <v>68</v>
      </c>
      <c r="AJ59" s="177" t="s">
        <v>76</v>
      </c>
      <c r="AK59" s="55" t="str" cm="1">
        <f t="array" ref="AK59">IF(ISNUMBER(G60),G60-_xlfn.AGGREGATE(14,6,(K$4:K59&lt;G60)*K$4:K59,1),"")</f>
        <v/>
      </c>
      <c r="AL59" s="20" t="str">
        <f>IF(ISNUMBER(AK59),ABS(IF(SUM(AK59-ref!E$9)&gt;0,0,SUM(AK59-ref!E$9))),"")</f>
        <v/>
      </c>
      <c r="AQ59"/>
    </row>
    <row r="60" spans="2:43" ht="15.75" thickBot="1" x14ac:dyDescent="0.3">
      <c r="B60"/>
      <c r="C60"/>
      <c r="D60"/>
      <c r="E60" s="154">
        <f t="shared" si="44"/>
        <v>43870</v>
      </c>
      <c r="F60" s="159" t="s">
        <v>19</v>
      </c>
      <c r="G60" s="155" t="str">
        <f t="shared" si="40"/>
        <v/>
      </c>
      <c r="H60" s="29"/>
      <c r="I60" s="23">
        <f t="shared" si="45"/>
        <v>0</v>
      </c>
      <c r="J60" s="29"/>
      <c r="K60" s="46" t="str">
        <f t="shared" si="41"/>
        <v/>
      </c>
      <c r="L60" s="21">
        <f>IF(OR(F60="télétravail",F60="férié travaillé",F60="travail"),(J60-H60+IF(H60&gt;J60,1)-I60),INDEX(ref!$E$22:'ref'!$E$37,MATCH(F60,gerald3,0)))</f>
        <v>0</v>
      </c>
      <c r="M60" s="13">
        <f>IF(SUM(L60-ref!E$8)&lt;0,0,SUM(L60-ref!E$8))</f>
        <v>0</v>
      </c>
      <c r="N60" s="252">
        <f>L60-(hs!D59+hs!F59+hs!H59+hs!J59)</f>
        <v>0</v>
      </c>
      <c r="O60" s="8">
        <f>IF(OR(F60="férié travaillé",F60="travail",F60="asa",F60="rtt"),J60-H60+IF(H60&gt;J60,1),INDEX(ref!$E$22:'ref'!$E$37,MATCH(F60,gerald2,0)))</f>
        <v>0</v>
      </c>
      <c r="P60" s="14">
        <f>IF(SUM(O60-ref!E$4)&lt;0,0,SUM(O60-ref!E$4))</f>
        <v>0</v>
      </c>
      <c r="Q60" s="97">
        <f t="shared" si="46"/>
        <v>1.9111111111111108</v>
      </c>
      <c r="S60" s="137"/>
      <c r="T60" s="92"/>
      <c r="U60" s="129"/>
      <c r="V60" s="142">
        <f t="shared" si="42"/>
        <v>0</v>
      </c>
      <c r="W60" s="141" t="str">
        <f>IF(V60="","",IF(SUM(V60-ref!E$38)&gt;0,0,IF(V60=0, "0:00", SUM(V60-ref!E$38))))</f>
        <v>0:00</v>
      </c>
      <c r="X60" s="137"/>
      <c r="Y60" s="92"/>
      <c r="Z60" s="247"/>
      <c r="AA60" s="142">
        <f t="shared" si="47"/>
        <v>0</v>
      </c>
      <c r="AB60" s="245" t="str">
        <f>IF(AA60="","",IF(SUM(AA60-ref!E$38)&gt;0,0,IF(AA60=0, "0:00", SUM(AA60-ref!E$38))))</f>
        <v>0:00</v>
      </c>
      <c r="AC60" s="29"/>
      <c r="AD60" s="106"/>
      <c r="AE60" s="118">
        <f>ref!E$11</f>
        <v>2</v>
      </c>
      <c r="AF60" s="77">
        <f t="shared" si="43"/>
        <v>0</v>
      </c>
      <c r="AG60" s="19"/>
      <c r="AH60" s="178" t="s">
        <v>76</v>
      </c>
      <c r="AI60" s="54" t="s">
        <v>68</v>
      </c>
      <c r="AJ60" s="177" t="s">
        <v>77</v>
      </c>
      <c r="AK60" s="55" t="str" cm="1">
        <f t="array" ref="AK60">IF(ISNUMBER(G61),G61-_xlfn.AGGREGATE(14,6,(K$4:K60&lt;G61)*K$4:K60,1),"")</f>
        <v/>
      </c>
      <c r="AL60" s="20" t="str">
        <f>IF(ISNUMBER(AK60),ABS(IF(SUM(AK60-ref!E$9)&gt;0,0,SUM(AK60-ref!E$9))),"")</f>
        <v/>
      </c>
      <c r="AQ60"/>
    </row>
    <row r="61" spans="2:43" ht="15.75" thickBot="1" x14ac:dyDescent="0.3">
      <c r="B61"/>
      <c r="C61"/>
      <c r="D61"/>
      <c r="E61" s="154">
        <f t="shared" si="44"/>
        <v>43871</v>
      </c>
      <c r="F61" s="160" t="s">
        <v>19</v>
      </c>
      <c r="G61" s="155" t="str">
        <f t="shared" si="40"/>
        <v/>
      </c>
      <c r="H61" s="29"/>
      <c r="I61" s="23">
        <f t="shared" si="45"/>
        <v>0</v>
      </c>
      <c r="J61" s="29"/>
      <c r="K61" s="46" t="str">
        <f t="shared" si="41"/>
        <v/>
      </c>
      <c r="L61" s="21">
        <f>IF(OR(F61="télétravail",F61="férié travaillé",F61="travail"),(J61-H61+IF(H61&gt;J61,1)-I61),INDEX(ref!$E$22:'ref'!$E$37,MATCH(F61,gerald3,0)))</f>
        <v>0</v>
      </c>
      <c r="M61" s="13">
        <f>IF(SUM(L61-ref!E$8)&lt;0,0,SUM(L61-ref!E$8))</f>
        <v>0</v>
      </c>
      <c r="N61" s="252">
        <f>L61-(hs!D60+hs!F60+hs!H60+hs!J60)</f>
        <v>0</v>
      </c>
      <c r="O61" s="8">
        <f>IF(OR(F61="férié travaillé",F61="travail",F61="asa",F61="rtt"),J61-H61+IF(H61&gt;J61,1),INDEX(ref!$E$22:'ref'!$E$37,MATCH(F61,gerald2,0)))</f>
        <v>0</v>
      </c>
      <c r="P61" s="14">
        <f>IF(SUM(O61-ref!E$4)&lt;0,0,SUM(O61-ref!E$4))</f>
        <v>0</v>
      </c>
      <c r="Q61" s="94">
        <f t="shared" si="46"/>
        <v>1.9111111111111108</v>
      </c>
      <c r="S61" s="138"/>
      <c r="T61" s="92"/>
      <c r="U61" s="129"/>
      <c r="V61" s="142">
        <f t="shared" si="42"/>
        <v>0</v>
      </c>
      <c r="W61" s="141" t="str">
        <f>IF(V61="","",IF(SUM(V61-ref!E$38)&gt;0,0,IF(V61=0, "0:00", SUM(V61-ref!E$38))))</f>
        <v>0:00</v>
      </c>
      <c r="X61" s="138"/>
      <c r="Y61" s="92"/>
      <c r="Z61" s="247"/>
      <c r="AA61" s="142">
        <f t="shared" si="47"/>
        <v>0</v>
      </c>
      <c r="AB61" s="246" t="str">
        <f>IF(AA61="","",IF(SUM(AA61-ref!E$38)&gt;0,0,IF(AA61=0, "0:00", SUM(AA61-ref!E$38))))</f>
        <v>0:00</v>
      </c>
      <c r="AC61" s="29"/>
      <c r="AD61" s="106"/>
      <c r="AE61" s="110">
        <f>IF(SUM(Q61-ref!E$11)&lt;0,0,SUM(Q61-ref!E$11))</f>
        <v>0</v>
      </c>
      <c r="AF61" s="77">
        <f t="shared" si="43"/>
        <v>0</v>
      </c>
      <c r="AG61" s="19"/>
      <c r="AQ61"/>
    </row>
    <row r="62" spans="2:43" x14ac:dyDescent="0.25">
      <c r="F62" s="157"/>
      <c r="W62" s="74"/>
      <c r="X62" s="2"/>
      <c r="Z62"/>
      <c r="AA62" s="2"/>
      <c r="AB62" s="2"/>
      <c r="AC62" s="127"/>
      <c r="AQ62"/>
    </row>
    <row r="63" spans="2:43" x14ac:dyDescent="0.25">
      <c r="F63" s="157"/>
      <c r="Q63" s="16"/>
      <c r="X63" s="2"/>
      <c r="Z63"/>
      <c r="AA63" s="2"/>
      <c r="AB63" s="2"/>
      <c r="AC63" s="127"/>
      <c r="AQ63"/>
    </row>
    <row r="64" spans="2:43" ht="15.75" thickBot="1" x14ac:dyDescent="0.3">
      <c r="F64" s="157"/>
      <c r="P64" s="127"/>
      <c r="W64" s="74"/>
      <c r="X64" s="2"/>
      <c r="Z64"/>
      <c r="AA64" s="2"/>
      <c r="AB64" s="2"/>
      <c r="AC64" s="127"/>
      <c r="AQ64"/>
    </row>
    <row r="65" spans="2:43" x14ac:dyDescent="0.25">
      <c r="B65" s="78" t="s">
        <v>1</v>
      </c>
      <c r="C65" s="88" t="s">
        <v>20</v>
      </c>
      <c r="D65" s="88"/>
      <c r="E65" s="154">
        <f>DATE(ref!E$2,B69,B67)</f>
        <v>43872</v>
      </c>
      <c r="F65" s="158" t="s">
        <v>20</v>
      </c>
      <c r="G65" s="155">
        <f t="shared" ref="G65:G71" si="48">IF(AND(J65="",H65=""),"",E65+H65)</f>
        <v>43872.383333333331</v>
      </c>
      <c r="H65" s="29">
        <v>0.3833333333333333</v>
      </c>
      <c r="I65" s="23">
        <f>SUM(V65+AA65+AC65)</f>
        <v>4.7222222222222165E-2</v>
      </c>
      <c r="J65" s="29">
        <v>0.71944444444444444</v>
      </c>
      <c r="K65" s="46">
        <f t="shared" ref="K65:K71" si="49">IF(AND(H65="",J65=""),"",E65+J65+(H65&gt;J65))</f>
        <v>43872.719444444447</v>
      </c>
      <c r="L65" s="21">
        <f>IF(OR(F65="télétravail",F65="férié travaillé",F65="travail"),(J65-H65+IF(H65&gt;J65,1)-I65),INDEX(ref!$E$22:'ref'!$E$37,MATCH(F65,gerald3,0)))</f>
        <v>0.28888888888888897</v>
      </c>
      <c r="M65" s="13">
        <f>IF(SUM(L65-ref!E$8)&lt;0,0,SUM(L65-ref!E$8))</f>
        <v>0</v>
      </c>
      <c r="N65" s="252">
        <f>L65-(hs!D64+hs!F64+hs!H64+hs!J64)</f>
        <v>-4.7222222222222165E-2</v>
      </c>
      <c r="O65" s="171">
        <f>IF(OR(F65="férié travaillé",F65="travail",F65="asa",F65="rtt"),J65-H65+IF(H65&gt;J65,1),INDEX(ref!$E$22:'ref'!$E$37,MATCH(F65,gerald2,0)))</f>
        <v>0.33611111111111114</v>
      </c>
      <c r="P65" s="173">
        <f>IF(SUM(O65-ref!E$4)&lt;0,0,SUM(O65-ref!E$4))</f>
        <v>0</v>
      </c>
      <c r="Q65" s="172">
        <f>L65</f>
        <v>0.28888888888888897</v>
      </c>
      <c r="S65" s="136"/>
      <c r="T65" s="92">
        <v>0.51944444444444449</v>
      </c>
      <c r="U65" s="129">
        <v>0.56666666666666665</v>
      </c>
      <c r="V65" s="142">
        <f t="shared" ref="V65:V71" si="50">U65-T65</f>
        <v>4.7222222222222165E-2</v>
      </c>
      <c r="W65" s="141">
        <f>IF(V65="","",IF(SUM(V65-ref!E$38)&gt;0,0,IF(V65=0, "0:00", SUM(V65-ref!E$38))))</f>
        <v>0</v>
      </c>
      <c r="X65" s="136"/>
      <c r="Y65" s="92"/>
      <c r="Z65" s="247"/>
      <c r="AA65" s="142">
        <f>Z65-Y65</f>
        <v>0</v>
      </c>
      <c r="AB65" s="244" t="str">
        <f>IF(AA65="","",IF(SUM(AA65-ref!E$38)&gt;0,0,IF(AA65=0, "0:00", SUM(AA65-ref!E$38))))</f>
        <v>0:00</v>
      </c>
      <c r="AC65" s="29"/>
      <c r="AD65" s="106"/>
      <c r="AE65" s="111">
        <f>SUM(AF65:AF71)</f>
        <v>5</v>
      </c>
      <c r="AF65" s="77">
        <f t="shared" ref="AF65:AF71" si="51">IF(AND(H65&lt;&gt;"",J65&lt;&gt;""),1,0+OR(N(J64)&lt;N(H64),F65="récupération",F65="congé 1 jour",F65="congé 1/2 jour ",F65="congé 5h24",F65="arrêt maladie",F65="arrêt travail",F65="férié ",F65="congé parentale",F65="congé de naissance"))</f>
        <v>1</v>
      </c>
      <c r="AG65" s="19"/>
      <c r="AH65" s="176" t="s">
        <v>71</v>
      </c>
      <c r="AI65" s="54" t="s">
        <v>68</v>
      </c>
      <c r="AJ65" s="177" t="s">
        <v>72</v>
      </c>
      <c r="AK65" s="55" cm="1">
        <f t="array" ref="AK65">IF(ISNUMBER(G66),G66-_xlfn.AGGREGATE(14,6,(K$4:K65&lt;G66)*K$4:K65,1),"")</f>
        <v>0.66666666666424135</v>
      </c>
      <c r="AL65" s="20">
        <f>IF(ISNUMBER(AK65),ABS(IF(SUM(AK65-ref!E$9)&gt;0,0,SUM(AK65-ref!E$9))),"")</f>
        <v>0</v>
      </c>
      <c r="AQ65"/>
    </row>
    <row r="66" spans="2:43" x14ac:dyDescent="0.25">
      <c r="B66" s="79" t="s">
        <v>1</v>
      </c>
      <c r="C66" s="88" t="s">
        <v>20</v>
      </c>
      <c r="D66" s="88"/>
      <c r="E66" s="154">
        <f t="shared" ref="E66:E71" si="52">E65+1</f>
        <v>43873</v>
      </c>
      <c r="F66" s="159" t="s">
        <v>20</v>
      </c>
      <c r="G66" s="155">
        <f t="shared" si="48"/>
        <v>43873.386111111111</v>
      </c>
      <c r="H66" s="29">
        <v>0.38611111111111113</v>
      </c>
      <c r="I66" s="23">
        <f t="shared" ref="I66:I71" si="53">SUM(V66+AA66+AC66)</f>
        <v>3.5416666666666763E-2</v>
      </c>
      <c r="J66" s="29">
        <v>0.83611111111111114</v>
      </c>
      <c r="K66" s="46">
        <f t="shared" si="49"/>
        <v>43873.836111111108</v>
      </c>
      <c r="L66" s="21">
        <f>IF(OR(F66="télétravail",F66="férié travaillé",F66="travail"),(J66-H66+IF(H66&gt;J66,1)-I66),INDEX(ref!$E$22:'ref'!$E$37,MATCH(F66,gerald3,0)))</f>
        <v>0.41458333333333325</v>
      </c>
      <c r="M66" s="13">
        <f>IF(SUM(L66-ref!E$8)&lt;0,0,SUM(L66-ref!E$8))</f>
        <v>0</v>
      </c>
      <c r="N66" s="252">
        <f>L66-(hs!D65+hs!F65+hs!H65+hs!J65)</f>
        <v>-0.10069444444444448</v>
      </c>
      <c r="O66" s="8">
        <f>IF(OR(F66="férié travaillé",F66="travail",F66="asa",F66="rtt"),J66-H66+IF(H66&gt;J66,1),INDEX(ref!$E$22:'ref'!$E$37,MATCH(F66,gerald2,0)))</f>
        <v>0.45</v>
      </c>
      <c r="P66" s="169">
        <f>IF(SUM(O66-ref!E$4)&lt;0,0,SUM(O66-ref!E$4))</f>
        <v>0</v>
      </c>
      <c r="Q66" s="24">
        <f t="shared" ref="Q66:Q71" si="54">Q65+L66</f>
        <v>0.70347222222222228</v>
      </c>
      <c r="S66" s="137"/>
      <c r="T66" s="92">
        <v>0.51388888888888884</v>
      </c>
      <c r="U66" s="129">
        <v>0.5493055555555556</v>
      </c>
      <c r="V66" s="142">
        <f t="shared" si="50"/>
        <v>3.5416666666666763E-2</v>
      </c>
      <c r="W66" s="141">
        <f>IF(V66="","",IF(SUM(V66-ref!E$38)&gt;0,0,IF(V66=0, "0:00", SUM(V66-ref!E$38))))</f>
        <v>0</v>
      </c>
      <c r="X66" s="137"/>
      <c r="Y66" s="92"/>
      <c r="Z66" s="247"/>
      <c r="AA66" s="142">
        <f t="shared" ref="AA66:AA71" si="55">Z66-Y66</f>
        <v>0</v>
      </c>
      <c r="AB66" s="245" t="str">
        <f>IF(AA66="","",IF(SUM(AA66-ref!E$38)&gt;0,0,IF(AA66=0, "0:00", SUM(AA66-ref!E$38))))</f>
        <v>0:00</v>
      </c>
      <c r="AC66" s="29"/>
      <c r="AD66" s="106"/>
      <c r="AE66" s="112">
        <f>IF(SUM(AE65-ref!E$7)&lt;0,0,SUM(AE65-ref!E$7))</f>
        <v>0</v>
      </c>
      <c r="AF66" s="77">
        <f t="shared" si="51"/>
        <v>1</v>
      </c>
      <c r="AG66" s="19"/>
      <c r="AH66" s="178" t="s">
        <v>72</v>
      </c>
      <c r="AI66" s="54" t="s">
        <v>68</v>
      </c>
      <c r="AJ66" s="177" t="s">
        <v>73</v>
      </c>
      <c r="AK66" s="55" cm="1">
        <f t="array" ref="AK66">IF(ISNUMBER(G67),G67-_xlfn.AGGREGATE(14,6,(K$4:K66&lt;G67)*K$4:K66,1),"")</f>
        <v>0.58680555556202307</v>
      </c>
      <c r="AL66" s="20">
        <f>IF(ISNUMBER(AK66),ABS(IF(SUM(AK66-ref!E$9)&gt;0,0,SUM(AK66-ref!E$9))),"")</f>
        <v>0</v>
      </c>
      <c r="AQ66"/>
    </row>
    <row r="67" spans="2:43" x14ac:dyDescent="0.25">
      <c r="B67" s="80">
        <v>12</v>
      </c>
      <c r="C67" s="88" t="s">
        <v>20</v>
      </c>
      <c r="D67" s="88"/>
      <c r="E67" s="154">
        <f t="shared" si="52"/>
        <v>43874</v>
      </c>
      <c r="F67" s="159" t="s">
        <v>20</v>
      </c>
      <c r="G67" s="155">
        <f t="shared" si="48"/>
        <v>43874.42291666667</v>
      </c>
      <c r="H67" s="29">
        <v>0.42291666666666666</v>
      </c>
      <c r="I67" s="23">
        <f t="shared" si="53"/>
        <v>3.2638888888888884E-2</v>
      </c>
      <c r="J67" s="29">
        <v>0.84305555555555556</v>
      </c>
      <c r="K67" s="46">
        <f t="shared" si="49"/>
        <v>43874.843055555553</v>
      </c>
      <c r="L67" s="21">
        <f>IF(OR(F67="télétravail",F67="férié travaillé",F67="travail"),(J67-H67+IF(H67&gt;J67,1)-I67),INDEX(ref!$E$22:'ref'!$E$37,MATCH(F67,gerald3,0)))</f>
        <v>0.38750000000000001</v>
      </c>
      <c r="M67" s="13">
        <f>IF(SUM(L67-ref!E$8)&lt;0,0,SUM(L67-ref!E$8))</f>
        <v>0</v>
      </c>
      <c r="N67" s="252">
        <f>L67-(hs!D66+hs!F66+hs!H66+hs!J66)</f>
        <v>-0.10486111111111107</v>
      </c>
      <c r="O67" s="8">
        <f>IF(OR(F67="férié travaillé",F67="travail",F67="asa",F67="rtt"),J67-H67+IF(H67&gt;J67,1),INDEX(ref!$E$22:'ref'!$E$37,MATCH(F67,gerald2,0)))</f>
        <v>0.4201388888888889</v>
      </c>
      <c r="P67" s="14">
        <f>IF(SUM(O67-ref!E$4)&lt;0,0,SUM(O67-ref!E$4))</f>
        <v>0</v>
      </c>
      <c r="Q67" s="24">
        <f t="shared" si="54"/>
        <v>1.0909722222222222</v>
      </c>
      <c r="S67" s="137"/>
      <c r="T67" s="92">
        <v>0.5</v>
      </c>
      <c r="U67" s="129">
        <v>0.53263888888888888</v>
      </c>
      <c r="V67" s="142">
        <f t="shared" si="50"/>
        <v>3.2638888888888884E-2</v>
      </c>
      <c r="W67" s="141">
        <f>IF(V67="","",IF(SUM(V67-ref!E$38)&gt;0,0,IF(V67=0, "0:00", SUM(V67-ref!E$38))))</f>
        <v>0</v>
      </c>
      <c r="X67" s="137"/>
      <c r="Y67" s="92"/>
      <c r="Z67" s="247"/>
      <c r="AA67" s="142">
        <f t="shared" si="55"/>
        <v>0</v>
      </c>
      <c r="AB67" s="245" t="str">
        <f>IF(AA67="","",IF(SUM(AA67-ref!E$38)&gt;0,0,IF(AA67=0, "0:00", SUM(AA67-ref!E$38))))</f>
        <v>0:00</v>
      </c>
      <c r="AC67" s="29"/>
      <c r="AD67" s="106"/>
      <c r="AE67" s="113" t="s">
        <v>29</v>
      </c>
      <c r="AF67" s="77">
        <f t="shared" si="51"/>
        <v>1</v>
      </c>
      <c r="AG67" s="19"/>
      <c r="AH67" s="178" t="s">
        <v>73</v>
      </c>
      <c r="AI67" s="54" t="s">
        <v>68</v>
      </c>
      <c r="AJ67" s="177" t="s">
        <v>74</v>
      </c>
      <c r="AK67" s="55" cm="1">
        <f t="array" ref="AK67">IF(ISNUMBER(G68),G68-_xlfn.AGGREGATE(14,6,(K$4:K67&lt;G68)*K$4:K67,1),"")</f>
        <v>0.53541666666569654</v>
      </c>
      <c r="AL67" s="20">
        <f>IF(ISNUMBER(AK67),ABS(IF(SUM(AK67-ref!E$9)&gt;0,0,SUM(AK67-ref!E$9))),"")</f>
        <v>0</v>
      </c>
      <c r="AQ67"/>
    </row>
    <row r="68" spans="2:43" x14ac:dyDescent="0.25">
      <c r="B68" s="79" t="s">
        <v>58</v>
      </c>
      <c r="C68" s="88" t="s">
        <v>20</v>
      </c>
      <c r="D68" s="88"/>
      <c r="E68" s="154">
        <f t="shared" si="52"/>
        <v>43875</v>
      </c>
      <c r="F68" s="159" t="s">
        <v>20</v>
      </c>
      <c r="G68" s="155">
        <f t="shared" si="48"/>
        <v>43875.378472222219</v>
      </c>
      <c r="H68" s="29">
        <v>0.37847222222222227</v>
      </c>
      <c r="I68" s="23">
        <f t="shared" si="53"/>
        <v>3.3333333333333215E-2</v>
      </c>
      <c r="J68" s="29">
        <v>0.90486111111111101</v>
      </c>
      <c r="K68" s="46">
        <f t="shared" si="49"/>
        <v>43875.904861111114</v>
      </c>
      <c r="L68" s="21">
        <f>IF(OR(F68="télétravail",F68="férié travaillé",F68="travail"),(J68-H68+IF(H68&gt;J68,1)-I68),INDEX(ref!$E$22:'ref'!$E$37,MATCH(F68,gerald3,0)))</f>
        <v>0.49305555555555558</v>
      </c>
      <c r="M68" s="13">
        <f>IF(SUM(L68-ref!E$8)&lt;0,0,SUM(L68-ref!E$8))</f>
        <v>7.6388888888888895E-2</v>
      </c>
      <c r="N68" s="252">
        <f>L68-(hs!D67+hs!F67+hs!H67+hs!J67)</f>
        <v>-0.16736111111111085</v>
      </c>
      <c r="O68" s="8">
        <f>IF(OR(F68="férié travaillé",F68="travail",F68="asa",F68="rtt"),J68-H68+IF(H68&gt;J68,1),INDEX(ref!$E$22:'ref'!$E$37,MATCH(F68,gerald2,0)))</f>
        <v>0.5263888888888888</v>
      </c>
      <c r="P68" s="14">
        <f>IF(SUM(O68-ref!E$4)&lt;0,0,SUM(O68-ref!E$4))</f>
        <v>2.6388888888888795E-2</v>
      </c>
      <c r="Q68" s="24">
        <f t="shared" si="54"/>
        <v>1.5840277777777778</v>
      </c>
      <c r="S68" s="137"/>
      <c r="T68" s="92">
        <v>0.51666666666666672</v>
      </c>
      <c r="U68" s="129">
        <v>0.54999999999999993</v>
      </c>
      <c r="V68" s="142">
        <f t="shared" si="50"/>
        <v>3.3333333333333215E-2</v>
      </c>
      <c r="W68" s="141">
        <f>IF(V68="","",IF(SUM(V68-ref!E$38)&gt;0,0,IF(V68=0, "0:00", SUM(V68-ref!E$38))))</f>
        <v>0</v>
      </c>
      <c r="X68" s="137"/>
      <c r="Y68" s="92"/>
      <c r="Z68" s="247"/>
      <c r="AA68" s="142">
        <f t="shared" si="55"/>
        <v>0</v>
      </c>
      <c r="AB68" s="245" t="str">
        <f>IF(AA68="","",IF(SUM(AA68-ref!E$38)&gt;0,0,IF(AA68=0, "0:00", SUM(AA68-ref!E$38))))</f>
        <v>0:00</v>
      </c>
      <c r="AC68" s="29"/>
      <c r="AD68" s="106"/>
      <c r="AE68" s="114">
        <f>Q71</f>
        <v>1.9263888888888889</v>
      </c>
      <c r="AF68" s="77">
        <f t="shared" si="51"/>
        <v>1</v>
      </c>
      <c r="AG68" s="19"/>
      <c r="AH68" s="178" t="s">
        <v>74</v>
      </c>
      <c r="AI68" s="54" t="s">
        <v>68</v>
      </c>
      <c r="AJ68" s="177" t="s">
        <v>75</v>
      </c>
      <c r="AK68" s="55" cm="1">
        <f t="array" ref="AK68">IF(ISNUMBER(G69),G69-_xlfn.AGGREGATE(14,6,(K$4:K68&lt;G69)*K$4:K68,1),"")</f>
        <v>0.47430555555183673</v>
      </c>
      <c r="AL68" s="20">
        <f>IF(ISNUMBER(AK68),ABS(IF(SUM(AK68-ref!E$9)&gt;0,0,SUM(AK68-ref!E$9))),"")</f>
        <v>0</v>
      </c>
      <c r="AQ68"/>
    </row>
    <row r="69" spans="2:43" x14ac:dyDescent="0.25">
      <c r="B69" s="81">
        <v>2</v>
      </c>
      <c r="C69" s="88" t="s">
        <v>20</v>
      </c>
      <c r="D69" s="88"/>
      <c r="E69" s="154">
        <f t="shared" si="52"/>
        <v>43876</v>
      </c>
      <c r="F69" s="159" t="s">
        <v>20</v>
      </c>
      <c r="G69" s="155">
        <f t="shared" si="48"/>
        <v>43876.379166666666</v>
      </c>
      <c r="H69" s="29">
        <v>0.37916666666666665</v>
      </c>
      <c r="I69" s="23">
        <f t="shared" si="53"/>
        <v>1.9444444444444486E-2</v>
      </c>
      <c r="J69" s="29">
        <v>0.74097222222222225</v>
      </c>
      <c r="K69" s="46">
        <f t="shared" si="49"/>
        <v>43876.740972222222</v>
      </c>
      <c r="L69" s="21">
        <f>IF(OR(F69="télétravail",F69="férié travaillé",F69="travail"),(J69-H69+IF(H69&gt;J69,1)-I69),INDEX(ref!$E$22:'ref'!$E$37,MATCH(F69,gerald3,0)))</f>
        <v>0.34236111111111112</v>
      </c>
      <c r="M69" s="13">
        <f>IF(SUM(L69-ref!E$8)&lt;0,0,SUM(L69-ref!E$8))</f>
        <v>0</v>
      </c>
      <c r="N69" s="252">
        <f>L69-(hs!D68+hs!F68+hs!H68+hs!J68)</f>
        <v>-1.9444444444444486E-2</v>
      </c>
      <c r="O69" s="8">
        <f>IF(OR(F69="férié travaillé",F69="travail",F69="asa",F69="rtt"),J69-H69+IF(H69&gt;J69,1),INDEX(ref!$E$22:'ref'!$E$37,MATCH(F69,gerald2,0)))</f>
        <v>0.3618055555555556</v>
      </c>
      <c r="P69" s="14">
        <f>IF(SUM(O69-ref!E$4)&lt;0,0,SUM(O69-ref!E$4))</f>
        <v>0</v>
      </c>
      <c r="Q69" s="24">
        <f t="shared" si="54"/>
        <v>1.9263888888888889</v>
      </c>
      <c r="S69" s="137"/>
      <c r="T69" s="92">
        <v>0.55972222222222223</v>
      </c>
      <c r="U69" s="129">
        <v>0.57916666666666672</v>
      </c>
      <c r="V69" s="142">
        <f t="shared" si="50"/>
        <v>1.9444444444444486E-2</v>
      </c>
      <c r="W69" s="141">
        <f>IF(V69="","",IF(SUM(V69-ref!E$38)&gt;0,0,IF(V69=0, "0:00", SUM(V69-ref!E$38))))</f>
        <v>-1.1805555555555514E-2</v>
      </c>
      <c r="X69" s="137"/>
      <c r="Y69" s="92"/>
      <c r="Z69" s="247"/>
      <c r="AA69" s="142">
        <f t="shared" si="55"/>
        <v>0</v>
      </c>
      <c r="AB69" s="245" t="str">
        <f>IF(AA69="","",IF(SUM(AA69-ref!E$38)&gt;0,0,IF(AA69=0, "0:00", SUM(AA69-ref!E$38))))</f>
        <v>0:00</v>
      </c>
      <c r="AC69" s="29"/>
      <c r="AD69" s="106"/>
      <c r="AE69" s="117" t="s">
        <v>47</v>
      </c>
      <c r="AF69" s="77">
        <f t="shared" si="51"/>
        <v>1</v>
      </c>
      <c r="AG69" s="19"/>
      <c r="AH69" s="178" t="s">
        <v>75</v>
      </c>
      <c r="AI69" s="54" t="s">
        <v>68</v>
      </c>
      <c r="AJ69" s="177" t="s">
        <v>76</v>
      </c>
      <c r="AK69" s="55" t="str" cm="1">
        <f t="array" ref="AK69">IF(ISNUMBER(G70),G70-_xlfn.AGGREGATE(14,6,(K$4:K69&lt;G70)*K$4:K69,1),"")</f>
        <v/>
      </c>
      <c r="AL69" s="20" t="str">
        <f>IF(ISNUMBER(AK69),ABS(IF(SUM(AK69-ref!E$9)&gt;0,0,SUM(AK69-ref!E$9))),"")</f>
        <v/>
      </c>
      <c r="AQ69"/>
    </row>
    <row r="70" spans="2:43" ht="15.75" thickBot="1" x14ac:dyDescent="0.3">
      <c r="B70"/>
      <c r="C70"/>
      <c r="D70"/>
      <c r="E70" s="154">
        <f t="shared" si="52"/>
        <v>43877</v>
      </c>
      <c r="F70" s="159" t="s">
        <v>19</v>
      </c>
      <c r="G70" s="155" t="str">
        <f t="shared" si="48"/>
        <v/>
      </c>
      <c r="H70" s="29"/>
      <c r="I70" s="23">
        <f t="shared" si="53"/>
        <v>0</v>
      </c>
      <c r="J70" s="29"/>
      <c r="K70" s="46" t="str">
        <f t="shared" si="49"/>
        <v/>
      </c>
      <c r="L70" s="21">
        <f>IF(OR(F70="télétravail",F70="férié travaillé",F70="travail"),(J70-H70+IF(H70&gt;J70,1)-I70),INDEX(ref!$E$22:'ref'!$E$37,MATCH(F70,gerald3,0)))</f>
        <v>0</v>
      </c>
      <c r="M70" s="13">
        <f>IF(SUM(L70-ref!E$8)&lt;0,0,SUM(L70-ref!E$8))</f>
        <v>0</v>
      </c>
      <c r="N70" s="252">
        <f>L70-(hs!D69+hs!F69+hs!H69+hs!J69)</f>
        <v>0</v>
      </c>
      <c r="O70" s="8">
        <f>IF(OR(F70="férié travaillé",F70="travail",F70="asa",F70="rtt"),J70-H70+IF(H70&gt;J70,1),INDEX(ref!$E$22:'ref'!$E$37,MATCH(F70,gerald2,0)))</f>
        <v>0</v>
      </c>
      <c r="P70" s="14">
        <f>IF(SUM(O70-ref!E$4)&lt;0,0,SUM(O70-ref!E$4))</f>
        <v>0</v>
      </c>
      <c r="Q70" s="97">
        <f t="shared" si="54"/>
        <v>1.9263888888888889</v>
      </c>
      <c r="S70" s="137"/>
      <c r="T70" s="92"/>
      <c r="U70" s="129"/>
      <c r="V70" s="142">
        <f t="shared" si="50"/>
        <v>0</v>
      </c>
      <c r="W70" s="141" t="str">
        <f>IF(V70="","",IF(SUM(V70-ref!E$38)&gt;0,0,IF(V70=0, "0:00", SUM(V70-ref!E$38))))</f>
        <v>0:00</v>
      </c>
      <c r="X70" s="137"/>
      <c r="Y70" s="92"/>
      <c r="Z70" s="247"/>
      <c r="AA70" s="142">
        <f t="shared" si="55"/>
        <v>0</v>
      </c>
      <c r="AB70" s="245" t="str">
        <f>IF(AA70="","",IF(SUM(AA70-ref!E$38)&gt;0,0,IF(AA70=0, "0:00", SUM(AA70-ref!E$38))))</f>
        <v>0:00</v>
      </c>
      <c r="AC70" s="29"/>
      <c r="AD70" s="106"/>
      <c r="AE70" s="118">
        <f>ref!E$11</f>
        <v>2</v>
      </c>
      <c r="AF70" s="77">
        <f t="shared" si="51"/>
        <v>0</v>
      </c>
      <c r="AG70" s="19"/>
      <c r="AH70" s="178" t="s">
        <v>76</v>
      </c>
      <c r="AI70" s="54" t="s">
        <v>68</v>
      </c>
      <c r="AJ70" s="177" t="s">
        <v>77</v>
      </c>
      <c r="AK70" s="55" t="str" cm="1">
        <f t="array" ref="AK70">IF(ISNUMBER(G71),G71-_xlfn.AGGREGATE(14,6,(K$4:K70&lt;G71)*K$4:K70,1),"")</f>
        <v/>
      </c>
      <c r="AL70" s="20" t="str">
        <f>IF(ISNUMBER(AK70),ABS(IF(SUM(AK70-ref!E$9)&gt;0,0,SUM(AK70-ref!E$9))),"")</f>
        <v/>
      </c>
      <c r="AQ70"/>
    </row>
    <row r="71" spans="2:43" ht="15.75" thickBot="1" x14ac:dyDescent="0.3">
      <c r="B71"/>
      <c r="C71"/>
      <c r="D71"/>
      <c r="E71" s="154">
        <f t="shared" si="52"/>
        <v>43878</v>
      </c>
      <c r="F71" s="160" t="s">
        <v>19</v>
      </c>
      <c r="G71" s="155" t="str">
        <f t="shared" si="48"/>
        <v/>
      </c>
      <c r="H71" s="29"/>
      <c r="I71" s="23">
        <f t="shared" si="53"/>
        <v>0</v>
      </c>
      <c r="J71" s="29"/>
      <c r="K71" s="46" t="str">
        <f t="shared" si="49"/>
        <v/>
      </c>
      <c r="L71" s="21">
        <f>IF(OR(F71="télétravail",F71="férié travaillé",F71="travail"),(J71-H71+IF(H71&gt;J71,1)-I71),INDEX(ref!$E$22:'ref'!$E$37,MATCH(F71,gerald3,0)))</f>
        <v>0</v>
      </c>
      <c r="M71" s="13">
        <f>IF(SUM(L71-ref!E$8)&lt;0,0,SUM(L71-ref!E$8))</f>
        <v>0</v>
      </c>
      <c r="N71" s="252">
        <f>L71-(hs!D70+hs!F70+hs!H70+hs!J70)</f>
        <v>0</v>
      </c>
      <c r="O71" s="8">
        <f>IF(OR(F71="férié travaillé",F71="travail",F71="asa",F71="rtt"),J71-H71+IF(H71&gt;J71,1),INDEX(ref!$E$22:'ref'!$E$37,MATCH(F71,gerald2,0)))</f>
        <v>0</v>
      </c>
      <c r="P71" s="14">
        <f>IF(SUM(O71-ref!E$4)&lt;0,0,SUM(O71-ref!E$4))</f>
        <v>0</v>
      </c>
      <c r="Q71" s="94">
        <f t="shared" si="54"/>
        <v>1.9263888888888889</v>
      </c>
      <c r="S71" s="138"/>
      <c r="T71" s="92"/>
      <c r="U71" s="129"/>
      <c r="V71" s="142">
        <f t="shared" si="50"/>
        <v>0</v>
      </c>
      <c r="W71" s="141" t="str">
        <f>IF(V71="","",IF(SUM(V71-ref!E$38)&gt;0,0,IF(V71=0, "0:00", SUM(V71-ref!E$38))))</f>
        <v>0:00</v>
      </c>
      <c r="X71" s="138"/>
      <c r="Y71" s="92"/>
      <c r="Z71" s="247"/>
      <c r="AA71" s="142">
        <f t="shared" si="55"/>
        <v>0</v>
      </c>
      <c r="AB71" s="246" t="str">
        <f>IF(AA71="","",IF(SUM(AA71-ref!E$38)&gt;0,0,IF(AA71=0, "0:00", SUM(AA71-ref!E$38))))</f>
        <v>0:00</v>
      </c>
      <c r="AC71" s="29"/>
      <c r="AD71" s="106"/>
      <c r="AE71" s="110">
        <f>IF(SUM(Q71-ref!E$11)&lt;0,0,SUM(Q71-ref!E$11))</f>
        <v>0</v>
      </c>
      <c r="AF71" s="77">
        <f t="shared" si="51"/>
        <v>0</v>
      </c>
      <c r="AG71" s="19"/>
      <c r="AQ71"/>
    </row>
    <row r="72" spans="2:43" x14ac:dyDescent="0.25">
      <c r="F72" s="157"/>
      <c r="W72" s="74"/>
      <c r="X72" s="2"/>
      <c r="Z72"/>
      <c r="AA72" s="2"/>
      <c r="AB72" s="2"/>
      <c r="AC72" s="127"/>
      <c r="AQ72"/>
    </row>
    <row r="73" spans="2:43" x14ac:dyDescent="0.25">
      <c r="F73" s="157"/>
      <c r="X73" s="2"/>
      <c r="Z73"/>
      <c r="AA73" s="2"/>
      <c r="AB73" s="2"/>
      <c r="AC73" s="127"/>
      <c r="AQ73"/>
    </row>
    <row r="74" spans="2:43" ht="15.75" thickBot="1" x14ac:dyDescent="0.3">
      <c r="F74" s="157"/>
      <c r="W74" s="74"/>
      <c r="X74" s="2"/>
      <c r="Z74"/>
      <c r="AA74" s="2"/>
      <c r="AB74" s="2"/>
      <c r="AC74" s="127"/>
      <c r="AQ74"/>
    </row>
    <row r="75" spans="2:43" x14ac:dyDescent="0.25">
      <c r="B75" s="78" t="s">
        <v>1</v>
      </c>
      <c r="C75" s="85" t="s">
        <v>90</v>
      </c>
      <c r="D75" s="85"/>
      <c r="E75" s="154">
        <f>DATE(ref!E$2,B79,B77)</f>
        <v>43879</v>
      </c>
      <c r="F75" s="158" t="s">
        <v>22</v>
      </c>
      <c r="G75" s="155" t="str">
        <f t="shared" ref="G75:G81" si="56">IF(AND(J75="",H75=""),"",E75+H75)</f>
        <v/>
      </c>
      <c r="H75" s="29"/>
      <c r="I75" s="23">
        <f>SUM(V75+AA75+AC75)</f>
        <v>0</v>
      </c>
      <c r="J75" s="29"/>
      <c r="K75" s="46" t="str">
        <f t="shared" ref="K75:K81" si="57">IF(AND(H75="",J75=""),"",E75+J75+(H75&gt;J75))</f>
        <v/>
      </c>
      <c r="L75" s="21">
        <f>IF(OR(F75="télétravail",F75="férié travaillé",F75="travail"),(J75-H75+IF(H75&gt;J75,1)-I75),INDEX(ref!$E$22:'ref'!$E$37,MATCH(F75,gerald3,0)))</f>
        <v>0.29166666666666669</v>
      </c>
      <c r="M75" s="13">
        <f>IF(SUM(L75-ref!E$8)&lt;0,0,SUM(L75-ref!E$8))</f>
        <v>0</v>
      </c>
      <c r="N75" s="252">
        <f>L75-(hs!D74+hs!F74+hs!H74+hs!J74)</f>
        <v>0.29166666666666669</v>
      </c>
      <c r="O75" s="8">
        <f>IF(OR(F75="férié travaillé",F75="travail",F75="asa",F75="rtt"),J75-H75+IF(H75&gt;J75,1),INDEX(ref!$E$22:'ref'!$E$37,MATCH(F75,gerald2,0)))</f>
        <v>0.29166666666666669</v>
      </c>
      <c r="P75" s="14">
        <f>IF(SUM(O75-ref!E$4)&lt;0,0,SUM(O75-ref!E$4))</f>
        <v>0</v>
      </c>
      <c r="Q75" s="21">
        <f>L75</f>
        <v>0.29166666666666669</v>
      </c>
      <c r="S75" s="136"/>
      <c r="T75" s="92"/>
      <c r="U75" s="129"/>
      <c r="V75" s="142">
        <f t="shared" ref="V75:V81" si="58">U75-T75</f>
        <v>0</v>
      </c>
      <c r="W75" s="141" t="str">
        <f>IF(V75="","",IF(SUM(V75-ref!E$38)&gt;0,0,IF(V75=0, "0:00", SUM(V75-ref!E$38))))</f>
        <v>0:00</v>
      </c>
      <c r="X75" s="136"/>
      <c r="Y75" s="92"/>
      <c r="Z75" s="247"/>
      <c r="AA75" s="142">
        <f>Z75-Y75</f>
        <v>0</v>
      </c>
      <c r="AB75" s="244" t="str">
        <f>IF(AA75="","",IF(SUM(AA75-ref!E$38)&gt;0,0,IF(AA75=0, "0:00", SUM(AA75-ref!E$38))))</f>
        <v>0:00</v>
      </c>
      <c r="AC75" s="29"/>
      <c r="AD75" s="106"/>
      <c r="AE75" s="111">
        <f>SUM(AF75:AF81)</f>
        <v>5</v>
      </c>
      <c r="AF75" s="77">
        <f t="shared" ref="AF75:AF81" si="59">IF(AND(H75&lt;&gt;"",J75&lt;&gt;""),1,0+OR(N(J74)&lt;N(H74),F75="récupération",F75="congé 1 jour",F75="congé 1/2 jour ",F75="congé 5h24",F75="arrêt maladie",F75="arrêt travail",F75="férié ",F75="congé parentale",F75="congé de naissance"))</f>
        <v>1</v>
      </c>
      <c r="AG75" s="19"/>
      <c r="AH75" s="176" t="s">
        <v>71</v>
      </c>
      <c r="AI75" s="54" t="s">
        <v>68</v>
      </c>
      <c r="AJ75" s="177" t="s">
        <v>72</v>
      </c>
      <c r="AK75" s="55" t="str" cm="1">
        <f t="array" ref="AK75">IF(ISNUMBER(G76),G76-_xlfn.AGGREGATE(14,6,(K$4:K75&lt;G76)*K$4:K75,1),"")</f>
        <v/>
      </c>
      <c r="AL75" s="20" t="str">
        <f>IF(ISNUMBER(AK75),ABS(IF(SUM(AK75-ref!E$9)&gt;0,0,SUM(AK75-ref!E$9))),"")</f>
        <v/>
      </c>
      <c r="AQ75"/>
    </row>
    <row r="76" spans="2:43" x14ac:dyDescent="0.25">
      <c r="B76" s="79" t="s">
        <v>1</v>
      </c>
      <c r="C76" s="85" t="s">
        <v>90</v>
      </c>
      <c r="D76" s="85"/>
      <c r="E76" s="154">
        <f t="shared" ref="E76:E81" si="60">E75+1</f>
        <v>43880</v>
      </c>
      <c r="F76" s="159" t="s">
        <v>22</v>
      </c>
      <c r="G76" s="155" t="str">
        <f t="shared" si="56"/>
        <v/>
      </c>
      <c r="H76" s="29"/>
      <c r="I76" s="23">
        <f t="shared" ref="I76:I81" si="61">SUM(V76+AA76+AC76)</f>
        <v>0</v>
      </c>
      <c r="J76" s="29"/>
      <c r="K76" s="46" t="str">
        <f t="shared" si="57"/>
        <v/>
      </c>
      <c r="L76" s="21">
        <f>IF(OR(F76="télétravail",F76="férié travaillé",F76="travail"),(J76-H76+IF(H76&gt;J76,1)-I76),INDEX(ref!$E$22:'ref'!$E$37,MATCH(F76,gerald3,0)))</f>
        <v>0.29166666666666669</v>
      </c>
      <c r="M76" s="13">
        <f>IF(SUM(L76-ref!E$8)&lt;0,0,SUM(L76-ref!E$8))</f>
        <v>0</v>
      </c>
      <c r="N76" s="252">
        <f>L76-(hs!D75+hs!F75+hs!H75+hs!J75)</f>
        <v>0.29166666666666669</v>
      </c>
      <c r="O76" s="8">
        <f>IF(OR(F76="férié travaillé",F76="travail",F76="asa",F76="rtt"),J76-H76+IF(H76&gt;J76,1),INDEX(ref!$E$22:'ref'!$E$37,MATCH(F76,gerald2,0)))</f>
        <v>0.29166666666666669</v>
      </c>
      <c r="P76" s="14">
        <f>IF(SUM(O76-ref!E$4)&lt;0,0,SUM(O76-ref!E$4))</f>
        <v>0</v>
      </c>
      <c r="Q76" s="24">
        <f t="shared" ref="Q76:Q81" si="62">Q75+L76</f>
        <v>0.58333333333333337</v>
      </c>
      <c r="S76" s="137"/>
      <c r="T76" s="92"/>
      <c r="U76" s="129"/>
      <c r="V76" s="142">
        <f t="shared" si="58"/>
        <v>0</v>
      </c>
      <c r="W76" s="141" t="str">
        <f>IF(V76="","",IF(SUM(V76-ref!E$38)&gt;0,0,IF(V76=0, "0:00", SUM(V76-ref!E$38))))</f>
        <v>0:00</v>
      </c>
      <c r="X76" s="137"/>
      <c r="Y76" s="92"/>
      <c r="Z76" s="247"/>
      <c r="AA76" s="142">
        <f t="shared" ref="AA76:AA81" si="63">Z76-Y76</f>
        <v>0</v>
      </c>
      <c r="AB76" s="245" t="str">
        <f>IF(AA76="","",IF(SUM(AA76-ref!E$38)&gt;0,0,IF(AA76=0, "0:00", SUM(AA76-ref!E$38))))</f>
        <v>0:00</v>
      </c>
      <c r="AC76" s="29"/>
      <c r="AD76" s="106"/>
      <c r="AE76" s="112">
        <f>IF(SUM(AE75-ref!E$7)&lt;0,0,SUM(AE75-ref!E$7))</f>
        <v>0</v>
      </c>
      <c r="AF76" s="77">
        <f t="shared" si="59"/>
        <v>1</v>
      </c>
      <c r="AG76" s="19"/>
      <c r="AH76" s="178" t="s">
        <v>72</v>
      </c>
      <c r="AI76" s="54" t="s">
        <v>68</v>
      </c>
      <c r="AJ76" s="177" t="s">
        <v>73</v>
      </c>
      <c r="AK76" s="55" t="str" cm="1">
        <f t="array" ref="AK76">IF(ISNUMBER(G77),G77-_xlfn.AGGREGATE(14,6,(K$4:K76&lt;G77)*K$4:K76,1),"")</f>
        <v/>
      </c>
      <c r="AL76" s="20" t="str">
        <f>IF(ISNUMBER(AK76),ABS(IF(SUM(AK76-ref!E$9)&gt;0,0,SUM(AK76-ref!E$9))),"")</f>
        <v/>
      </c>
      <c r="AQ76"/>
    </row>
    <row r="77" spans="2:43" x14ac:dyDescent="0.25">
      <c r="B77" s="80">
        <v>19</v>
      </c>
      <c r="C77" s="85" t="s">
        <v>90</v>
      </c>
      <c r="D77" s="85"/>
      <c r="E77" s="154">
        <f t="shared" si="60"/>
        <v>43881</v>
      </c>
      <c r="F77" s="159" t="s">
        <v>22</v>
      </c>
      <c r="G77" s="155" t="str">
        <f t="shared" si="56"/>
        <v/>
      </c>
      <c r="H77" s="29"/>
      <c r="I77" s="23">
        <f t="shared" si="61"/>
        <v>0</v>
      </c>
      <c r="J77" s="29"/>
      <c r="K77" s="46" t="str">
        <f t="shared" si="57"/>
        <v/>
      </c>
      <c r="L77" s="21">
        <f>IF(OR(F77="télétravail",F77="férié travaillé",F77="travail"),(J77-H77+IF(H77&gt;J77,1)-I77),INDEX(ref!$E$22:'ref'!$E$37,MATCH(F77,gerald3,0)))</f>
        <v>0.29166666666666669</v>
      </c>
      <c r="M77" s="13">
        <f>IF(SUM(L77-ref!E$8)&lt;0,0,SUM(L77-ref!E$8))</f>
        <v>0</v>
      </c>
      <c r="N77" s="252">
        <f>L77-(hs!D76+hs!F76+hs!H76+hs!J76)</f>
        <v>0.29166666666666669</v>
      </c>
      <c r="O77" s="8">
        <f>IF(OR(F77="férié travaillé",F77="travail",F77="asa",F77="rtt"),J77-H77+IF(H77&gt;J77,1),INDEX(ref!$E$22:'ref'!$E$37,MATCH(F77,gerald2,0)))</f>
        <v>0.29166666666666669</v>
      </c>
      <c r="P77" s="14">
        <f>IF(SUM(O77-ref!E$4)&lt;0,0,SUM(O77-ref!E$4))</f>
        <v>0</v>
      </c>
      <c r="Q77" s="24">
        <f t="shared" si="62"/>
        <v>0.875</v>
      </c>
      <c r="S77" s="137"/>
      <c r="T77" s="92"/>
      <c r="U77" s="129"/>
      <c r="V77" s="142">
        <f t="shared" si="58"/>
        <v>0</v>
      </c>
      <c r="W77" s="141" t="str">
        <f>IF(V77="","",IF(SUM(V77-ref!E$38)&gt;0,0,IF(V77=0, "0:00", SUM(V77-ref!E$38))))</f>
        <v>0:00</v>
      </c>
      <c r="X77" s="137"/>
      <c r="Y77" s="92"/>
      <c r="Z77" s="247"/>
      <c r="AA77" s="142">
        <f t="shared" si="63"/>
        <v>0</v>
      </c>
      <c r="AB77" s="245" t="str">
        <f>IF(AA77="","",IF(SUM(AA77-ref!E$38)&gt;0,0,IF(AA77=0, "0:00", SUM(AA77-ref!E$38))))</f>
        <v>0:00</v>
      </c>
      <c r="AC77" s="29"/>
      <c r="AD77" s="106"/>
      <c r="AE77" s="113" t="s">
        <v>29</v>
      </c>
      <c r="AF77" s="77">
        <f t="shared" si="59"/>
        <v>1</v>
      </c>
      <c r="AG77" s="19"/>
      <c r="AH77" s="178" t="s">
        <v>73</v>
      </c>
      <c r="AI77" s="54" t="s">
        <v>68</v>
      </c>
      <c r="AJ77" s="177" t="s">
        <v>74</v>
      </c>
      <c r="AK77" s="55" t="str" cm="1">
        <f t="array" ref="AK77">IF(ISNUMBER(G78),G78-_xlfn.AGGREGATE(14,6,(K$4:K77&lt;G78)*K$4:K77,1),"")</f>
        <v/>
      </c>
      <c r="AL77" s="20" t="str">
        <f>IF(ISNUMBER(AK77),ABS(IF(SUM(AK77-ref!E$9)&gt;0,0,SUM(AK77-ref!E$9))),"")</f>
        <v/>
      </c>
      <c r="AQ77"/>
    </row>
    <row r="78" spans="2:43" x14ac:dyDescent="0.25">
      <c r="B78" s="79" t="s">
        <v>58</v>
      </c>
      <c r="C78" s="85" t="s">
        <v>90</v>
      </c>
      <c r="D78" s="85"/>
      <c r="E78" s="154">
        <f t="shared" si="60"/>
        <v>43882</v>
      </c>
      <c r="F78" s="159" t="s">
        <v>22</v>
      </c>
      <c r="G78" s="155" t="str">
        <f t="shared" si="56"/>
        <v/>
      </c>
      <c r="H78" s="29"/>
      <c r="I78" s="23">
        <f t="shared" si="61"/>
        <v>0</v>
      </c>
      <c r="J78" s="29"/>
      <c r="K78" s="46" t="str">
        <f t="shared" si="57"/>
        <v/>
      </c>
      <c r="L78" s="21">
        <f>IF(OR(F78="télétravail",F78="férié travaillé",F78="travail"),(J78-H78+IF(H78&gt;J78,1)-I78),INDEX(ref!$E$22:'ref'!$E$37,MATCH(F78,gerald3,0)))</f>
        <v>0.29166666666666669</v>
      </c>
      <c r="M78" s="13">
        <f>IF(SUM(L78-ref!E$8)&lt;0,0,SUM(L78-ref!E$8))</f>
        <v>0</v>
      </c>
      <c r="N78" s="252">
        <f>L78-(hs!D77+hs!F77+hs!H77+hs!J77)</f>
        <v>0.29166666666666669</v>
      </c>
      <c r="O78" s="8">
        <f>IF(OR(F78="férié travaillé",F78="travail",F78="asa",F78="rtt"),J78-H78+IF(H78&gt;J78,1),INDEX(ref!$E$22:'ref'!$E$37,MATCH(F78,gerald2,0)))</f>
        <v>0.29166666666666669</v>
      </c>
      <c r="P78" s="14">
        <f>IF(SUM(O78-ref!E$4)&lt;0,0,SUM(O78-ref!E$4))</f>
        <v>0</v>
      </c>
      <c r="Q78" s="24">
        <f t="shared" si="62"/>
        <v>1.1666666666666667</v>
      </c>
      <c r="S78" s="137"/>
      <c r="T78" s="92"/>
      <c r="U78" s="129"/>
      <c r="V78" s="142">
        <f t="shared" si="58"/>
        <v>0</v>
      </c>
      <c r="W78" s="141" t="str">
        <f>IF(V78="","",IF(SUM(V78-ref!E$38)&gt;0,0,IF(V78=0, "0:00", SUM(V78-ref!E$38))))</f>
        <v>0:00</v>
      </c>
      <c r="X78" s="137"/>
      <c r="Y78" s="92"/>
      <c r="Z78" s="247"/>
      <c r="AA78" s="142">
        <f t="shared" si="63"/>
        <v>0</v>
      </c>
      <c r="AB78" s="245" t="str">
        <f>IF(AA78="","",IF(SUM(AA78-ref!E$38)&gt;0,0,IF(AA78=0, "0:00", SUM(AA78-ref!E$38))))</f>
        <v>0:00</v>
      </c>
      <c r="AC78" s="29"/>
      <c r="AD78" s="106"/>
      <c r="AE78" s="114">
        <f>Q81</f>
        <v>1.4583333333333335</v>
      </c>
      <c r="AF78" s="77">
        <f t="shared" si="59"/>
        <v>1</v>
      </c>
      <c r="AG78" s="19"/>
      <c r="AH78" s="178" t="s">
        <v>74</v>
      </c>
      <c r="AI78" s="54" t="s">
        <v>68</v>
      </c>
      <c r="AJ78" s="177" t="s">
        <v>75</v>
      </c>
      <c r="AK78" s="55" t="str" cm="1">
        <f t="array" ref="AK78">IF(ISNUMBER(G79),G79-_xlfn.AGGREGATE(14,6,(K$4:K78&lt;G79)*K$4:K78,1),"")</f>
        <v/>
      </c>
      <c r="AL78" s="20" t="str">
        <f>IF(ISNUMBER(AK78),ABS(IF(SUM(AK78-ref!E$9)&gt;0,0,SUM(AK78-ref!E$9))),"")</f>
        <v/>
      </c>
      <c r="AQ78"/>
    </row>
    <row r="79" spans="2:43" x14ac:dyDescent="0.25">
      <c r="B79" s="81">
        <v>2</v>
      </c>
      <c r="C79" s="86" t="s">
        <v>90</v>
      </c>
      <c r="D79" s="86"/>
      <c r="E79" s="154">
        <f t="shared" si="60"/>
        <v>43883</v>
      </c>
      <c r="F79" s="159" t="s">
        <v>22</v>
      </c>
      <c r="G79" s="155" t="str">
        <f t="shared" si="56"/>
        <v/>
      </c>
      <c r="H79" s="29"/>
      <c r="I79" s="23">
        <f t="shared" si="61"/>
        <v>0</v>
      </c>
      <c r="J79" s="29"/>
      <c r="K79" s="46" t="str">
        <f t="shared" si="57"/>
        <v/>
      </c>
      <c r="L79" s="21">
        <f>IF(OR(F79="télétravail",F79="férié travaillé",F79="travail"),(J79-H79+IF(H79&gt;J79,1)-I79),INDEX(ref!$E$22:'ref'!$E$37,MATCH(F79,gerald3,0)))</f>
        <v>0.29166666666666669</v>
      </c>
      <c r="M79" s="13">
        <f>IF(SUM(L79-ref!E$8)&lt;0,0,SUM(L79-ref!E$8))</f>
        <v>0</v>
      </c>
      <c r="N79" s="252">
        <f>L79-(hs!D78+hs!F78+hs!H78+hs!J78)</f>
        <v>0.29166666666666669</v>
      </c>
      <c r="O79" s="8">
        <f>IF(OR(F79="férié travaillé",F79="travail",F79="asa",F79="rtt"),J79-H79+IF(H79&gt;J79,1),INDEX(ref!$E$22:'ref'!$E$37,MATCH(F79,gerald2,0)))</f>
        <v>0.29166666666666669</v>
      </c>
      <c r="P79" s="14">
        <f>IF(SUM(O79-ref!E$4)&lt;0,0,SUM(O79-ref!E$4))</f>
        <v>0</v>
      </c>
      <c r="Q79" s="24">
        <f t="shared" si="62"/>
        <v>1.4583333333333335</v>
      </c>
      <c r="S79" s="137"/>
      <c r="T79" s="92"/>
      <c r="U79" s="129"/>
      <c r="V79" s="142">
        <f t="shared" si="58"/>
        <v>0</v>
      </c>
      <c r="W79" s="141" t="str">
        <f>IF(V79="","",IF(SUM(V79-ref!E$38)&gt;0,0,IF(V79=0, "0:00", SUM(V79-ref!E$38))))</f>
        <v>0:00</v>
      </c>
      <c r="X79" s="137"/>
      <c r="Y79" s="92"/>
      <c r="Z79" s="247"/>
      <c r="AA79" s="142">
        <f t="shared" si="63"/>
        <v>0</v>
      </c>
      <c r="AB79" s="245" t="str">
        <f>IF(AA79="","",IF(SUM(AA79-ref!E$38)&gt;0,0,IF(AA79=0, "0:00", SUM(AA79-ref!E$38))))</f>
        <v>0:00</v>
      </c>
      <c r="AC79" s="29"/>
      <c r="AD79" s="106"/>
      <c r="AE79" s="117" t="s">
        <v>47</v>
      </c>
      <c r="AF79" s="77">
        <f t="shared" si="59"/>
        <v>1</v>
      </c>
      <c r="AG79" s="19"/>
      <c r="AH79" s="178" t="s">
        <v>75</v>
      </c>
      <c r="AI79" s="54" t="s">
        <v>68</v>
      </c>
      <c r="AJ79" s="177" t="s">
        <v>76</v>
      </c>
      <c r="AK79" s="55" t="str" cm="1">
        <f t="array" ref="AK79">IF(ISNUMBER(G80),G80-_xlfn.AGGREGATE(14,6,(K$4:K79&lt;G80)*K$4:K79,1),"")</f>
        <v/>
      </c>
      <c r="AL79" s="20" t="str">
        <f>IF(ISNUMBER(AK79),ABS(IF(SUM(AK79-ref!E$9)&gt;0,0,SUM(AK79-ref!E$9))),"")</f>
        <v/>
      </c>
      <c r="AQ79"/>
    </row>
    <row r="80" spans="2:43" ht="15.75" thickBot="1" x14ac:dyDescent="0.3">
      <c r="B80"/>
      <c r="C80"/>
      <c r="D80"/>
      <c r="E80" s="154">
        <f t="shared" si="60"/>
        <v>43884</v>
      </c>
      <c r="F80" s="159" t="s">
        <v>19</v>
      </c>
      <c r="G80" s="155" t="str">
        <f t="shared" si="56"/>
        <v/>
      </c>
      <c r="H80" s="29"/>
      <c r="I80" s="23">
        <f t="shared" si="61"/>
        <v>0</v>
      </c>
      <c r="J80" s="29"/>
      <c r="K80" s="46" t="str">
        <f t="shared" si="57"/>
        <v/>
      </c>
      <c r="L80" s="21">
        <f>IF(OR(F80="télétravail",F80="férié travaillé",F80="travail"),(J80-H80+IF(H80&gt;J80,1)-I80),INDEX(ref!$E$22:'ref'!$E$37,MATCH(F80,gerald3,0)))</f>
        <v>0</v>
      </c>
      <c r="M80" s="13">
        <f>IF(SUM(L80-ref!E$8)&lt;0,0,SUM(L80-ref!E$8))</f>
        <v>0</v>
      </c>
      <c r="N80" s="252">
        <f>L80-(hs!D79+hs!F79+hs!H79+hs!J79)</f>
        <v>0</v>
      </c>
      <c r="O80" s="8">
        <f>IF(OR(F80="férié travaillé",F80="travail",F80="asa",F80="rtt"),J80-H80+IF(H80&gt;J80,1),INDEX(ref!$E$22:'ref'!$E$37,MATCH(F80,gerald2,0)))</f>
        <v>0</v>
      </c>
      <c r="P80" s="14">
        <f>IF(SUM(O80-ref!E$4)&lt;0,0,SUM(O80-ref!E$4))</f>
        <v>0</v>
      </c>
      <c r="Q80" s="97">
        <f t="shared" si="62"/>
        <v>1.4583333333333335</v>
      </c>
      <c r="S80" s="137"/>
      <c r="T80" s="92"/>
      <c r="U80" s="129"/>
      <c r="V80" s="142">
        <f t="shared" si="58"/>
        <v>0</v>
      </c>
      <c r="W80" s="141" t="str">
        <f>IF(V80="","",IF(SUM(V80-ref!E$38)&gt;0,0,IF(V80=0, "0:00", SUM(V80-ref!E$38))))</f>
        <v>0:00</v>
      </c>
      <c r="X80" s="137"/>
      <c r="Y80" s="92"/>
      <c r="Z80" s="247"/>
      <c r="AA80" s="142">
        <f t="shared" si="63"/>
        <v>0</v>
      </c>
      <c r="AB80" s="245" t="str">
        <f>IF(AA80="","",IF(SUM(AA80-ref!E$38)&gt;0,0,IF(AA80=0, "0:00", SUM(AA80-ref!E$38))))</f>
        <v>0:00</v>
      </c>
      <c r="AC80" s="29"/>
      <c r="AD80" s="106"/>
      <c r="AE80" s="118">
        <f>ref!E$11</f>
        <v>2</v>
      </c>
      <c r="AF80" s="77">
        <f t="shared" si="59"/>
        <v>0</v>
      </c>
      <c r="AG80" s="19"/>
      <c r="AH80" s="178" t="s">
        <v>76</v>
      </c>
      <c r="AI80" s="54" t="s">
        <v>68</v>
      </c>
      <c r="AJ80" s="177" t="s">
        <v>77</v>
      </c>
      <c r="AK80" s="55" t="str" cm="1">
        <f t="array" ref="AK80">IF(ISNUMBER(G81),G81-_xlfn.AGGREGATE(14,6,(K$4:K80&lt;G81)*K$4:K80,1),"")</f>
        <v/>
      </c>
      <c r="AL80" s="20" t="str">
        <f>IF(ISNUMBER(AK80),ABS(IF(SUM(AK80-ref!E$9)&gt;0,0,SUM(AK80-ref!E$9))),"")</f>
        <v/>
      </c>
      <c r="AQ80"/>
    </row>
    <row r="81" spans="2:43" ht="15.75" thickBot="1" x14ac:dyDescent="0.3">
      <c r="B81"/>
      <c r="C81"/>
      <c r="D81"/>
      <c r="E81" s="154">
        <f t="shared" si="60"/>
        <v>43885</v>
      </c>
      <c r="F81" s="160" t="s">
        <v>19</v>
      </c>
      <c r="G81" s="155" t="str">
        <f t="shared" si="56"/>
        <v/>
      </c>
      <c r="H81" s="29"/>
      <c r="I81" s="23">
        <f t="shared" si="61"/>
        <v>0</v>
      </c>
      <c r="J81" s="29"/>
      <c r="K81" s="46" t="str">
        <f t="shared" si="57"/>
        <v/>
      </c>
      <c r="L81" s="21">
        <f>IF(OR(F81="télétravail",F81="férié travaillé",F81="travail"),(J81-H81+IF(H81&gt;J81,1)-I81),INDEX(ref!$E$22:'ref'!$E$37,MATCH(F81,gerald3,0)))</f>
        <v>0</v>
      </c>
      <c r="M81" s="13">
        <f>IF(SUM(L81-ref!E$8)&lt;0,0,SUM(L81-ref!E$8))</f>
        <v>0</v>
      </c>
      <c r="N81" s="252">
        <f>L81-(hs!D80+hs!F80+hs!H80+hs!J80)</f>
        <v>0</v>
      </c>
      <c r="O81" s="8">
        <f>IF(OR(F81="férié travaillé",F81="travail",F81="asa",F81="rtt"),J81-H81+IF(H81&gt;J81,1),INDEX(ref!$E$22:'ref'!$E$37,MATCH(F81,gerald2,0)))</f>
        <v>0</v>
      </c>
      <c r="P81" s="14">
        <f>IF(SUM(O81-ref!E$4)&lt;0,0,SUM(O81-ref!E$4))</f>
        <v>0</v>
      </c>
      <c r="Q81" s="94">
        <f t="shared" si="62"/>
        <v>1.4583333333333335</v>
      </c>
      <c r="S81" s="138"/>
      <c r="T81" s="92"/>
      <c r="U81" s="129"/>
      <c r="V81" s="142">
        <f t="shared" si="58"/>
        <v>0</v>
      </c>
      <c r="W81" s="141" t="str">
        <f>IF(V81="","",IF(SUM(V81-ref!E$38)&gt;0,0,IF(V81=0, "0:00", SUM(V81-ref!E$38))))</f>
        <v>0:00</v>
      </c>
      <c r="X81" s="138"/>
      <c r="Y81" s="92"/>
      <c r="Z81" s="247"/>
      <c r="AA81" s="142">
        <f t="shared" si="63"/>
        <v>0</v>
      </c>
      <c r="AB81" s="246" t="str">
        <f>IF(AA81="","",IF(SUM(AA81-ref!E$38)&gt;0,0,IF(AA81=0, "0:00", SUM(AA81-ref!E$38))))</f>
        <v>0:00</v>
      </c>
      <c r="AC81" s="29"/>
      <c r="AD81" s="106"/>
      <c r="AE81" s="110">
        <f>IF(SUM(Q81-ref!E$11)&lt;0,0,SUM(Q81-ref!E$11))</f>
        <v>0</v>
      </c>
      <c r="AF81" s="77">
        <f t="shared" si="59"/>
        <v>0</v>
      </c>
      <c r="AG81" s="19"/>
      <c r="AQ81"/>
    </row>
    <row r="82" spans="2:43" x14ac:dyDescent="0.25">
      <c r="F82" s="157"/>
      <c r="W82" s="74"/>
      <c r="X82" s="2"/>
      <c r="Z82"/>
      <c r="AA82" s="2"/>
      <c r="AB82" s="2"/>
      <c r="AC82" s="127"/>
      <c r="AQ82"/>
    </row>
    <row r="83" spans="2:43" x14ac:dyDescent="0.25">
      <c r="F83" s="157"/>
      <c r="Q83" s="16"/>
      <c r="X83" s="2"/>
      <c r="Z83"/>
      <c r="AA83" s="2"/>
      <c r="AB83" s="2"/>
      <c r="AC83" s="127"/>
      <c r="AQ83"/>
    </row>
    <row r="84" spans="2:43" ht="15.75" thickBot="1" x14ac:dyDescent="0.3">
      <c r="F84" s="157"/>
      <c r="W84" s="74"/>
      <c r="X84" s="2"/>
      <c r="Z84"/>
      <c r="AA84" s="2"/>
      <c r="AB84" s="2"/>
      <c r="AC84" s="127"/>
      <c r="AQ84"/>
    </row>
    <row r="85" spans="2:43" x14ac:dyDescent="0.25">
      <c r="B85" s="78" t="s">
        <v>1</v>
      </c>
      <c r="C85" s="85" t="s">
        <v>90</v>
      </c>
      <c r="D85" s="85"/>
      <c r="E85" s="154">
        <f>DATE(ref!E$2,B89,B87)</f>
        <v>43886</v>
      </c>
      <c r="F85" s="158" t="s">
        <v>24</v>
      </c>
      <c r="G85" s="155" t="str">
        <f t="shared" ref="G85:G91" si="64">IF(AND(J85="",H85=""),"",E85+H85)</f>
        <v/>
      </c>
      <c r="H85" s="29"/>
      <c r="I85" s="23">
        <f>SUM(V85+AA85+AC85)</f>
        <v>0</v>
      </c>
      <c r="J85" s="29"/>
      <c r="K85" s="46" t="str">
        <f t="shared" ref="K85:K91" si="65">IF(AND(H85="",J85=""),"",E85+J85+(H85&gt;J85))</f>
        <v/>
      </c>
      <c r="L85" s="21">
        <f>IF(OR(F85="télétravail",F85="férié travaillé",F85="travail"),(J85-H85+IF(H85&gt;J85,1)-I85),INDEX(ref!$E$22:'ref'!$E$37,MATCH(F85,gerald3,0)))</f>
        <v>0.29166666666666669</v>
      </c>
      <c r="M85" s="13">
        <f>IF(SUM(L85-ref!E$8)&lt;0,0,SUM(L85-ref!E$8))</f>
        <v>0</v>
      </c>
      <c r="N85" s="252">
        <f>L85-(hs!D84+hs!F84+hs!H84+hs!J84)</f>
        <v>0.29166666666666669</v>
      </c>
      <c r="O85" s="8">
        <f>IF(OR(F85="férié travaillé",F85="travail",F85="asa",F85="rtt"),J85-H85+IF(H85&gt;J85,1),INDEX(ref!$E$22:'ref'!$E$37,MATCH(F85,gerald2,0)))</f>
        <v>0.29166666666666669</v>
      </c>
      <c r="P85" s="14">
        <f>IF(SUM(O85-ref!E$4)&lt;0,0,SUM(O85-ref!E$4))</f>
        <v>0</v>
      </c>
      <c r="Q85" s="21">
        <f>L85</f>
        <v>0.29166666666666669</v>
      </c>
      <c r="S85" s="136"/>
      <c r="T85" s="92"/>
      <c r="U85" s="129"/>
      <c r="V85" s="142">
        <f t="shared" ref="V85:V91" si="66">U85-T85</f>
        <v>0</v>
      </c>
      <c r="W85" s="141" t="str">
        <f>IF(V85="","",IF(SUM(V85-ref!E$38)&gt;0,0,IF(V85=0, "0:00", SUM(V85-ref!E$38))))</f>
        <v>0:00</v>
      </c>
      <c r="X85" s="136"/>
      <c r="Y85" s="92"/>
      <c r="Z85" s="247"/>
      <c r="AA85" s="142">
        <f>Z85-Y85</f>
        <v>0</v>
      </c>
      <c r="AB85" s="244" t="str">
        <f>IF(AA85="","",IF(SUM(AA85-ref!E$38)&gt;0,0,IF(AA85=0, "0:00", SUM(AA85-ref!E$38))))</f>
        <v>0:00</v>
      </c>
      <c r="AC85" s="29"/>
      <c r="AD85" s="106"/>
      <c r="AE85" s="111">
        <f>SUM(AF85:AF91)</f>
        <v>5</v>
      </c>
      <c r="AF85" s="77">
        <f t="shared" ref="AF85:AF91" si="67">IF(AND(H85&lt;&gt;"",J85&lt;&gt;""),1,0+OR(N(J84)&lt;N(H84),F85="récupération",F85="congé 1 jour",F85="congé 1/2 jour ",F85="congé 5h24",F85="arrêt maladie",F85="arrêt travail",F85="férié ",F85="congé parentale",F85="congé de naissance"))</f>
        <v>1</v>
      </c>
      <c r="AG85" s="19"/>
      <c r="AH85" s="176" t="s">
        <v>71</v>
      </c>
      <c r="AI85" s="54" t="s">
        <v>68</v>
      </c>
      <c r="AJ85" s="177" t="s">
        <v>72</v>
      </c>
      <c r="AK85" s="55" t="str" cm="1">
        <f t="array" ref="AK85">IF(ISNUMBER(G86),G86-_xlfn.AGGREGATE(14,6,(K$4:K85&lt;G86)*K$4:K85,1),"")</f>
        <v/>
      </c>
      <c r="AL85" s="20" t="str">
        <f>IF(ISNUMBER(AK85),ABS(IF(SUM(AK85-ref!E$9)&gt;0,0,SUM(AK85-ref!E$9))),"")</f>
        <v/>
      </c>
      <c r="AQ85"/>
    </row>
    <row r="86" spans="2:43" x14ac:dyDescent="0.25">
      <c r="B86" s="79" t="s">
        <v>1</v>
      </c>
      <c r="C86" s="85" t="s">
        <v>90</v>
      </c>
      <c r="D86" s="85"/>
      <c r="E86" s="154">
        <f t="shared" ref="E86:E91" si="68">E85+1</f>
        <v>43887</v>
      </c>
      <c r="F86" s="159" t="s">
        <v>24</v>
      </c>
      <c r="G86" s="155" t="str">
        <f t="shared" si="64"/>
        <v/>
      </c>
      <c r="H86" s="29"/>
      <c r="I86" s="23">
        <f t="shared" ref="I86:I91" si="69">SUM(V86+AA86+AC86)</f>
        <v>0</v>
      </c>
      <c r="J86" s="29"/>
      <c r="K86" s="46" t="str">
        <f t="shared" si="65"/>
        <v/>
      </c>
      <c r="L86" s="21">
        <f>IF(OR(F86="télétravail",F86="férié travaillé",F86="travail"),(J86-H86+IF(H86&gt;J86,1)-I86),INDEX(ref!$E$22:'ref'!$E$37,MATCH(F86,gerald3,0)))</f>
        <v>0.29166666666666669</v>
      </c>
      <c r="M86" s="13">
        <f>IF(SUM(L86-ref!E$8)&lt;0,0,SUM(L86-ref!E$8))</f>
        <v>0</v>
      </c>
      <c r="N86" s="252">
        <f>L86-(hs!D85+hs!F85+hs!H85+hs!J85)</f>
        <v>0.29166666666666669</v>
      </c>
      <c r="O86" s="8">
        <f>IF(OR(F86="férié travaillé",F86="travail",F86="asa",F86="rtt"),J86-H86+IF(H86&gt;J86,1),INDEX(ref!$E$22:'ref'!$E$37,MATCH(F86,gerald2,0)))</f>
        <v>0.29166666666666669</v>
      </c>
      <c r="P86" s="14">
        <f>IF(SUM(O86-ref!E$4)&lt;0,0,SUM(O86-ref!E$4))</f>
        <v>0</v>
      </c>
      <c r="Q86" s="24">
        <f t="shared" ref="Q86:Q91" si="70">Q85+L86</f>
        <v>0.58333333333333337</v>
      </c>
      <c r="S86" s="137"/>
      <c r="T86" s="92"/>
      <c r="U86" s="129"/>
      <c r="V86" s="142">
        <f t="shared" si="66"/>
        <v>0</v>
      </c>
      <c r="W86" s="141" t="str">
        <f>IF(V86="","",IF(SUM(V86-ref!E$38)&gt;0,0,IF(V86=0, "0:00", SUM(V86-ref!E$38))))</f>
        <v>0:00</v>
      </c>
      <c r="X86" s="137"/>
      <c r="Y86" s="92"/>
      <c r="Z86" s="247"/>
      <c r="AA86" s="142">
        <f t="shared" ref="AA86:AA91" si="71">Z86-Y86</f>
        <v>0</v>
      </c>
      <c r="AB86" s="245" t="str">
        <f>IF(AA86="","",IF(SUM(AA86-ref!E$38)&gt;0,0,IF(AA86=0, "0:00", SUM(AA86-ref!E$38))))</f>
        <v>0:00</v>
      </c>
      <c r="AC86" s="29"/>
      <c r="AD86" s="106"/>
      <c r="AE86" s="112">
        <f>IF(SUM(AE85-ref!E$7)&lt;0,0,SUM(AE85-ref!E$7))</f>
        <v>0</v>
      </c>
      <c r="AF86" s="77">
        <f t="shared" si="67"/>
        <v>1</v>
      </c>
      <c r="AG86" s="19"/>
      <c r="AH86" s="178" t="s">
        <v>72</v>
      </c>
      <c r="AI86" s="54" t="s">
        <v>68</v>
      </c>
      <c r="AJ86" s="177" t="s">
        <v>73</v>
      </c>
      <c r="AK86" s="55" t="str" cm="1">
        <f t="array" ref="AK86">IF(ISNUMBER(G87),G87-_xlfn.AGGREGATE(14,6,(K$4:K86&lt;G87)*K$4:K86,1),"")</f>
        <v/>
      </c>
      <c r="AL86" s="20" t="str">
        <f>IF(ISNUMBER(AK86),ABS(IF(SUM(AK86-ref!E$9)&gt;0,0,SUM(AK86-ref!E$9))),"")</f>
        <v/>
      </c>
      <c r="AQ86"/>
    </row>
    <row r="87" spans="2:43" x14ac:dyDescent="0.25">
      <c r="B87" s="80">
        <v>26</v>
      </c>
      <c r="C87" s="85" t="s">
        <v>90</v>
      </c>
      <c r="D87" s="85"/>
      <c r="E87" s="154">
        <f t="shared" si="68"/>
        <v>43888</v>
      </c>
      <c r="F87" s="159" t="s">
        <v>24</v>
      </c>
      <c r="G87" s="155" t="str">
        <f t="shared" si="64"/>
        <v/>
      </c>
      <c r="H87" s="29"/>
      <c r="I87" s="23">
        <f t="shared" si="69"/>
        <v>0</v>
      </c>
      <c r="J87" s="29"/>
      <c r="K87" s="46" t="str">
        <f t="shared" si="65"/>
        <v/>
      </c>
      <c r="L87" s="21">
        <f>IF(OR(F87="télétravail",F87="férié travaillé",F87="travail"),(J87-H87+IF(H87&gt;J87,1)-I87),INDEX(ref!$E$22:'ref'!$E$37,MATCH(F87,gerald3,0)))</f>
        <v>0.29166666666666669</v>
      </c>
      <c r="M87" s="13">
        <f>IF(SUM(L87-ref!E$8)&lt;0,0,SUM(L87-ref!E$8))</f>
        <v>0</v>
      </c>
      <c r="N87" s="252">
        <f>L87-(hs!D86+hs!F86+hs!H86+hs!J86)</f>
        <v>0.29166666666666669</v>
      </c>
      <c r="O87" s="8">
        <f>IF(OR(F87="férié travaillé",F87="travail",F87="asa",F87="rtt"),J87-H87+IF(H87&gt;J87,1),INDEX(ref!$E$22:'ref'!$E$37,MATCH(F87,gerald2,0)))</f>
        <v>0.29166666666666669</v>
      </c>
      <c r="P87" s="14">
        <f>IF(SUM(O87-ref!E$4)&lt;0,0,SUM(O87-ref!E$4))</f>
        <v>0</v>
      </c>
      <c r="Q87" s="24">
        <f t="shared" si="70"/>
        <v>0.875</v>
      </c>
      <c r="S87" s="137"/>
      <c r="T87" s="126"/>
      <c r="U87" s="129"/>
      <c r="V87" s="142">
        <f t="shared" si="66"/>
        <v>0</v>
      </c>
      <c r="W87" s="141" t="str">
        <f>IF(V87="","",IF(SUM(V87-ref!E$38)&gt;0,0,IF(V87=0, "0:00", SUM(V87-ref!E$38))))</f>
        <v>0:00</v>
      </c>
      <c r="X87" s="137"/>
      <c r="Y87" s="92"/>
      <c r="Z87" s="247"/>
      <c r="AA87" s="142">
        <f t="shared" si="71"/>
        <v>0</v>
      </c>
      <c r="AB87" s="245" t="str">
        <f>IF(AA87="","",IF(SUM(AA87-ref!E$38)&gt;0,0,IF(AA87=0, "0:00", SUM(AA87-ref!E$38))))</f>
        <v>0:00</v>
      </c>
      <c r="AC87" s="29"/>
      <c r="AD87" s="106"/>
      <c r="AE87" s="113" t="s">
        <v>29</v>
      </c>
      <c r="AF87" s="77">
        <f t="shared" si="67"/>
        <v>1</v>
      </c>
      <c r="AG87" s="19"/>
      <c r="AH87" s="178" t="s">
        <v>73</v>
      </c>
      <c r="AI87" s="54" t="s">
        <v>68</v>
      </c>
      <c r="AJ87" s="177" t="s">
        <v>74</v>
      </c>
      <c r="AK87" s="55" t="str" cm="1">
        <f t="array" ref="AK87">IF(ISNUMBER(G88),G88-_xlfn.AGGREGATE(14,6,(K$4:K87&lt;G88)*K$4:K87,1),"")</f>
        <v/>
      </c>
      <c r="AL87" s="20" t="str">
        <f>IF(ISNUMBER(AK87),ABS(IF(SUM(AK87-ref!E$9)&gt;0,0,SUM(AK87-ref!E$9))),"")</f>
        <v/>
      </c>
      <c r="AQ87"/>
    </row>
    <row r="88" spans="2:43" x14ac:dyDescent="0.25">
      <c r="B88" s="79" t="s">
        <v>58</v>
      </c>
      <c r="C88" s="85" t="s">
        <v>90</v>
      </c>
      <c r="D88" s="85"/>
      <c r="E88" s="154">
        <f t="shared" si="68"/>
        <v>43889</v>
      </c>
      <c r="F88" s="159" t="s">
        <v>24</v>
      </c>
      <c r="G88" s="155" t="str">
        <f t="shared" si="64"/>
        <v/>
      </c>
      <c r="H88" s="29"/>
      <c r="I88" s="23">
        <f t="shared" si="69"/>
        <v>0</v>
      </c>
      <c r="J88" s="29"/>
      <c r="K88" s="46" t="str">
        <f t="shared" si="65"/>
        <v/>
      </c>
      <c r="L88" s="21">
        <f>IF(OR(F88="télétravail",F88="férié travaillé",F88="travail"),(J88-H88+IF(H88&gt;J88,1)-I88),INDEX(ref!$E$22:'ref'!$E$37,MATCH(F88,gerald3,0)))</f>
        <v>0.29166666666666669</v>
      </c>
      <c r="M88" s="13">
        <f>IF(SUM(L88-ref!E$8)&lt;0,0,SUM(L88-ref!E$8))</f>
        <v>0</v>
      </c>
      <c r="N88" s="252">
        <f>L88-(hs!D87+hs!F87+hs!H87+hs!J87)</f>
        <v>0.29166666666666669</v>
      </c>
      <c r="O88" s="8">
        <f>IF(OR(F88="férié travaillé",F88="travail",F88="asa",F88="rtt"),J88-H88+IF(H88&gt;J88,1),INDEX(ref!$E$22:'ref'!$E$37,MATCH(F88,gerald2,0)))</f>
        <v>0.29166666666666669</v>
      </c>
      <c r="P88" s="14">
        <f>IF(SUM(O88-ref!E$4)&lt;0,0,SUM(O88-ref!E$4))</f>
        <v>0</v>
      </c>
      <c r="Q88" s="24">
        <f t="shared" si="70"/>
        <v>1.1666666666666667</v>
      </c>
      <c r="S88" s="137"/>
      <c r="T88" s="92"/>
      <c r="U88" s="129"/>
      <c r="V88" s="142">
        <f t="shared" si="66"/>
        <v>0</v>
      </c>
      <c r="W88" s="141" t="str">
        <f>IF(V88="","",IF(SUM(V88-ref!E$38)&gt;0,0,IF(V88=0, "0:00", SUM(V88-ref!E$38))))</f>
        <v>0:00</v>
      </c>
      <c r="X88" s="137"/>
      <c r="Y88" s="92"/>
      <c r="Z88" s="247"/>
      <c r="AA88" s="142">
        <f t="shared" si="71"/>
        <v>0</v>
      </c>
      <c r="AB88" s="245" t="str">
        <f>IF(AA88="","",IF(SUM(AA88-ref!E$38)&gt;0,0,IF(AA88=0, "0:00", SUM(AA88-ref!E$38))))</f>
        <v>0:00</v>
      </c>
      <c r="AC88" s="29"/>
      <c r="AD88" s="106"/>
      <c r="AE88" s="114">
        <f>Q91</f>
        <v>1.4583333333333335</v>
      </c>
      <c r="AF88" s="77">
        <f t="shared" si="67"/>
        <v>1</v>
      </c>
      <c r="AG88" s="19"/>
      <c r="AH88" s="178" t="s">
        <v>74</v>
      </c>
      <c r="AI88" s="54" t="s">
        <v>68</v>
      </c>
      <c r="AJ88" s="177" t="s">
        <v>75</v>
      </c>
      <c r="AK88" s="55" t="str" cm="1">
        <f t="array" ref="AK88">IF(ISNUMBER(G89),G89-_xlfn.AGGREGATE(14,6,(K$4:K88&lt;G89)*K$4:K88,1),"")</f>
        <v/>
      </c>
      <c r="AL88" s="20" t="str">
        <f>IF(ISNUMBER(AK88),ABS(IF(SUM(AK88-ref!E$9)&gt;0,0,SUM(AK88-ref!E$9))),"")</f>
        <v/>
      </c>
      <c r="AQ88"/>
    </row>
    <row r="89" spans="2:43" x14ac:dyDescent="0.25">
      <c r="B89" s="81">
        <v>2</v>
      </c>
      <c r="C89" s="86" t="s">
        <v>90</v>
      </c>
      <c r="D89" s="86"/>
      <c r="E89" s="154">
        <f t="shared" si="68"/>
        <v>43890</v>
      </c>
      <c r="F89" s="159" t="s">
        <v>24</v>
      </c>
      <c r="G89" s="155" t="str">
        <f t="shared" si="64"/>
        <v/>
      </c>
      <c r="H89" s="29"/>
      <c r="I89" s="23">
        <f t="shared" si="69"/>
        <v>0</v>
      </c>
      <c r="J89" s="29"/>
      <c r="K89" s="46" t="str">
        <f t="shared" si="65"/>
        <v/>
      </c>
      <c r="L89" s="21">
        <f>IF(OR(F89="télétravail",F89="férié travaillé",F89="travail"),(J89-H89+IF(H89&gt;J89,1)-I89),INDEX(ref!$E$22:'ref'!$E$37,MATCH(F89,gerald3,0)))</f>
        <v>0.29166666666666669</v>
      </c>
      <c r="M89" s="13">
        <f>IF(SUM(L89-ref!E$8)&lt;0,0,SUM(L89-ref!E$8))</f>
        <v>0</v>
      </c>
      <c r="N89" s="252">
        <f>L89-(hs!D88+hs!F88+hs!H88+hs!J88)</f>
        <v>0.29166666666666669</v>
      </c>
      <c r="O89" s="8">
        <f>IF(OR(F89="férié travaillé",F89="travail",F89="asa",F89="rtt"),J89-H89+IF(H89&gt;J89,1),INDEX(ref!$E$22:'ref'!$E$37,MATCH(F89,gerald2,0)))</f>
        <v>0.29166666666666669</v>
      </c>
      <c r="P89" s="14">
        <f>IF(SUM(O89-ref!E$4)&lt;0,0,SUM(O89-ref!E$4))</f>
        <v>0</v>
      </c>
      <c r="Q89" s="96">
        <f t="shared" si="70"/>
        <v>1.4583333333333335</v>
      </c>
      <c r="S89" s="137"/>
      <c r="T89" s="92"/>
      <c r="U89" s="129"/>
      <c r="V89" s="142">
        <f t="shared" si="66"/>
        <v>0</v>
      </c>
      <c r="W89" s="141" t="str">
        <f>IF(V89="","",IF(SUM(V89-ref!E$38)&gt;0,0,IF(V89=0, "0:00", SUM(V89-ref!E$38))))</f>
        <v>0:00</v>
      </c>
      <c r="X89" s="137"/>
      <c r="Y89" s="92"/>
      <c r="Z89" s="247"/>
      <c r="AA89" s="142">
        <f t="shared" si="71"/>
        <v>0</v>
      </c>
      <c r="AB89" s="245" t="str">
        <f>IF(AA89="","",IF(SUM(AA89-ref!E$38)&gt;0,0,IF(AA89=0, "0:00", SUM(AA89-ref!E$38))))</f>
        <v>0:00</v>
      </c>
      <c r="AC89" s="29"/>
      <c r="AD89" s="106"/>
      <c r="AE89" s="117" t="s">
        <v>47</v>
      </c>
      <c r="AF89" s="77">
        <f t="shared" si="67"/>
        <v>1</v>
      </c>
      <c r="AG89" s="19"/>
      <c r="AH89" s="178" t="s">
        <v>75</v>
      </c>
      <c r="AI89" s="54" t="s">
        <v>68</v>
      </c>
      <c r="AJ89" s="177" t="s">
        <v>76</v>
      </c>
      <c r="AK89" s="55" t="str" cm="1">
        <f t="array" ref="AK89">IF(ISNUMBER(G90),G90-_xlfn.AGGREGATE(14,6,(K$4:K89&lt;G90)*K$4:K89,1),"")</f>
        <v/>
      </c>
      <c r="AL89" s="20" t="str">
        <f>IF(ISNUMBER(AK89),ABS(IF(SUM(AK89-ref!E$9)&gt;0,0,SUM(AK89-ref!E$9))),"")</f>
        <v/>
      </c>
      <c r="AQ89"/>
    </row>
    <row r="90" spans="2:43" ht="15.75" thickBot="1" x14ac:dyDescent="0.3">
      <c r="B90"/>
      <c r="C90" s="89"/>
      <c r="D90" s="89"/>
      <c r="E90" s="154">
        <f t="shared" si="68"/>
        <v>43891</v>
      </c>
      <c r="F90" s="159" t="s">
        <v>19</v>
      </c>
      <c r="G90" s="155" t="str">
        <f t="shared" si="64"/>
        <v/>
      </c>
      <c r="H90" s="29"/>
      <c r="I90" s="23">
        <f t="shared" si="69"/>
        <v>0</v>
      </c>
      <c r="J90" s="29"/>
      <c r="K90" s="46" t="str">
        <f t="shared" si="65"/>
        <v/>
      </c>
      <c r="L90" s="21">
        <f>IF(OR(F90="télétravail",F90="férié travaillé",F90="travail"),(J90-H90+IF(H90&gt;J90,1)-I90),INDEX(ref!$E$22:'ref'!$E$37,MATCH(F90,gerald3,0)))</f>
        <v>0</v>
      </c>
      <c r="M90" s="13">
        <f>IF(SUM(L90-ref!E$8)&lt;0,0,SUM(L90-ref!E$8))</f>
        <v>0</v>
      </c>
      <c r="N90" s="252">
        <f>L90-(hs!D89+hs!F89+hs!H89+hs!J89)</f>
        <v>0</v>
      </c>
      <c r="O90" s="8">
        <f>IF(OR(F90="férié travaillé",F90="travail",F90="asa",F90="rtt"),J90-H90+IF(H90&gt;J90,1),INDEX(ref!$E$22:'ref'!$E$37,MATCH(F90,gerald2,0)))</f>
        <v>0</v>
      </c>
      <c r="P90" s="14">
        <f>IF(SUM(O90-ref!E$4)&lt;0,0,SUM(O90-ref!E$4))</f>
        <v>0</v>
      </c>
      <c r="Q90" s="97">
        <f t="shared" si="70"/>
        <v>1.4583333333333335</v>
      </c>
      <c r="S90" s="137"/>
      <c r="T90" s="92"/>
      <c r="U90" s="129"/>
      <c r="V90" s="142">
        <f t="shared" si="66"/>
        <v>0</v>
      </c>
      <c r="W90" s="141" t="str">
        <f>IF(V90="","",IF(SUM(V90-ref!E$38)&gt;0,0,IF(V90=0, "0:00", SUM(V90-ref!E$38))))</f>
        <v>0:00</v>
      </c>
      <c r="X90" s="137"/>
      <c r="Y90" s="92"/>
      <c r="Z90" s="247"/>
      <c r="AA90" s="142">
        <f t="shared" si="71"/>
        <v>0</v>
      </c>
      <c r="AB90" s="245" t="str">
        <f>IF(AA90="","",IF(SUM(AA90-ref!E$38)&gt;0,0,IF(AA90=0, "0:00", SUM(AA90-ref!E$38))))</f>
        <v>0:00</v>
      </c>
      <c r="AC90" s="29"/>
      <c r="AD90" s="106"/>
      <c r="AE90" s="118">
        <f>ref!E$11</f>
        <v>2</v>
      </c>
      <c r="AF90" s="77">
        <f t="shared" si="67"/>
        <v>0</v>
      </c>
      <c r="AG90" s="19"/>
      <c r="AH90" s="178" t="s">
        <v>76</v>
      </c>
      <c r="AI90" s="54" t="s">
        <v>68</v>
      </c>
      <c r="AJ90" s="177" t="s">
        <v>77</v>
      </c>
      <c r="AK90" s="55" t="str" cm="1">
        <f t="array" ref="AK90">IF(ISNUMBER(G91),G91-_xlfn.AGGREGATE(14,6,(K$4:K90&lt;G91)*K$4:K90,1),"")</f>
        <v/>
      </c>
      <c r="AL90" s="20" t="str">
        <f>IF(ISNUMBER(AK90),ABS(IF(SUM(AK90-ref!E$9)&gt;0,0,SUM(AK90-ref!E$9))),"")</f>
        <v/>
      </c>
      <c r="AQ90"/>
    </row>
    <row r="91" spans="2:43" ht="15.75" thickBot="1" x14ac:dyDescent="0.3">
      <c r="B91"/>
      <c r="C91" s="89"/>
      <c r="D91" s="89"/>
      <c r="E91" s="154">
        <f t="shared" si="68"/>
        <v>43892</v>
      </c>
      <c r="F91" s="160" t="s">
        <v>19</v>
      </c>
      <c r="G91" s="155" t="str">
        <f t="shared" si="64"/>
        <v/>
      </c>
      <c r="H91" s="29"/>
      <c r="I91" s="23">
        <f t="shared" si="69"/>
        <v>0</v>
      </c>
      <c r="J91" s="29"/>
      <c r="K91" s="46" t="str">
        <f t="shared" si="65"/>
        <v/>
      </c>
      <c r="L91" s="21">
        <f>IF(OR(F91="télétravail",F91="férié travaillé",F91="travail"),(J91-H91+IF(H91&gt;J91,1)-I91),INDEX(ref!$E$22:'ref'!$E$37,MATCH(F91,gerald3,0)))</f>
        <v>0</v>
      </c>
      <c r="M91" s="13">
        <f>IF(SUM(L91-ref!E$8)&lt;0,0,SUM(L91-ref!E$8))</f>
        <v>0</v>
      </c>
      <c r="N91" s="252">
        <f>L91-(hs!D90+hs!F90+hs!H90+hs!J90)</f>
        <v>0</v>
      </c>
      <c r="O91" s="8">
        <f>IF(OR(F91="férié travaillé",F91="travail",F91="asa",F91="rtt"),J91-H91+IF(H91&gt;J91,1),INDEX(ref!$E$22:'ref'!$E$37,MATCH(F91,gerald2,0)))</f>
        <v>0</v>
      </c>
      <c r="P91" s="14">
        <f>IF(SUM(O91-ref!E$4)&lt;0,0,SUM(O91-ref!E$4))</f>
        <v>0</v>
      </c>
      <c r="Q91" s="94">
        <f t="shared" si="70"/>
        <v>1.4583333333333335</v>
      </c>
      <c r="S91" s="138"/>
      <c r="T91" s="92"/>
      <c r="U91" s="129"/>
      <c r="V91" s="142">
        <f t="shared" si="66"/>
        <v>0</v>
      </c>
      <c r="W91" s="141" t="str">
        <f>IF(V91="","",IF(SUM(V91-ref!E$38)&gt;0,0,IF(V91=0, "0:00", SUM(V91-ref!E$38))))</f>
        <v>0:00</v>
      </c>
      <c r="X91" s="138"/>
      <c r="Y91" s="92"/>
      <c r="Z91" s="247"/>
      <c r="AA91" s="142">
        <f t="shared" si="71"/>
        <v>0</v>
      </c>
      <c r="AB91" s="246" t="str">
        <f>IF(AA91="","",IF(SUM(AA91-ref!E$38)&gt;0,0,IF(AA91=0, "0:00", SUM(AA91-ref!E$38))))</f>
        <v>0:00</v>
      </c>
      <c r="AC91" s="29"/>
      <c r="AD91" s="106"/>
      <c r="AE91" s="110">
        <f>IF(SUM(Q91-ref!E$11)&lt;0,0,SUM(Q91-ref!E$11))</f>
        <v>0</v>
      </c>
      <c r="AF91" s="77">
        <f t="shared" si="67"/>
        <v>0</v>
      </c>
      <c r="AG91" s="19"/>
      <c r="AQ91"/>
    </row>
    <row r="92" spans="2:43" x14ac:dyDescent="0.25">
      <c r="C92" s="89"/>
      <c r="D92" s="89"/>
      <c r="F92" s="157"/>
      <c r="W92" s="74"/>
      <c r="X92" s="2"/>
      <c r="Z92"/>
      <c r="AA92" s="2"/>
      <c r="AB92" s="2"/>
      <c r="AC92" s="127"/>
      <c r="AQ92"/>
    </row>
    <row r="93" spans="2:43" x14ac:dyDescent="0.25">
      <c r="C93" s="89"/>
      <c r="D93" s="89"/>
      <c r="F93" s="157"/>
      <c r="X93" s="2"/>
      <c r="Z93"/>
      <c r="AA93" s="2"/>
      <c r="AB93" s="2"/>
      <c r="AC93" s="127"/>
      <c r="AQ93"/>
    </row>
    <row r="94" spans="2:43" ht="15.75" thickBot="1" x14ac:dyDescent="0.3">
      <c r="C94" s="89"/>
      <c r="D94" s="89"/>
      <c r="F94" s="157"/>
      <c r="W94" s="74"/>
      <c r="X94" s="2"/>
      <c r="Z94"/>
      <c r="AA94" s="2"/>
      <c r="AB94" s="2"/>
      <c r="AC94" s="127"/>
      <c r="AQ94"/>
    </row>
    <row r="95" spans="2:43" x14ac:dyDescent="0.25">
      <c r="B95" s="78" t="s">
        <v>1</v>
      </c>
      <c r="C95" s="88" t="s">
        <v>20</v>
      </c>
      <c r="D95" s="88"/>
      <c r="E95" s="154">
        <f>DATE(ref!E$2,B99,B97)</f>
        <v>43893</v>
      </c>
      <c r="F95" s="158" t="s">
        <v>20</v>
      </c>
      <c r="G95" s="155">
        <f t="shared" ref="G95:G101" si="72">IF(AND(J95="",H95=""),"",E95+H95)</f>
        <v>43893.377083333333</v>
      </c>
      <c r="H95" s="29">
        <v>0.37708333333333338</v>
      </c>
      <c r="I95" s="23">
        <f>SUM(V95+AA95+AC95)</f>
        <v>3.1944444444444442E-2</v>
      </c>
      <c r="J95" s="29">
        <v>0.67847222222222225</v>
      </c>
      <c r="K95" s="46">
        <f t="shared" ref="K95:K101" si="73">IF(AND(H95="",J95=""),"",E95+J95+(H95&gt;J95))</f>
        <v>43893.678472222222</v>
      </c>
      <c r="L95" s="21">
        <f>IF(OR(F95="télétravail",F95="férié travaillé",F95="travail"),(J95-H95+IF(H95&gt;J95,1)-I95),INDEX(ref!$E$22:'ref'!$E$37,MATCH(F95,gerald3,0)))</f>
        <v>0.26944444444444443</v>
      </c>
      <c r="M95" s="13">
        <f>IF(SUM(L95-ref!E$8)&lt;0,0,SUM(L95-ref!E$8))</f>
        <v>0</v>
      </c>
      <c r="N95" s="252">
        <f>L95-(hs!D94+hs!F94+hs!H94+hs!J94)</f>
        <v>-3.1944444444444442E-2</v>
      </c>
      <c r="O95" s="8">
        <f>IF(OR(F95="férié travaillé",F95="travail",F95="asa",F95="rtt"),J95-H95+IF(H95&gt;J95,1),INDEX(ref!$E$22:'ref'!$E$37,MATCH(F95,gerald2,0)))</f>
        <v>0.30138888888888887</v>
      </c>
      <c r="P95" s="14">
        <f>IF(SUM(O95-ref!E$4)&lt;0,0,SUM(O95-ref!E$4))</f>
        <v>0</v>
      </c>
      <c r="Q95" s="21">
        <f>L95</f>
        <v>0.26944444444444443</v>
      </c>
      <c r="S95" s="136"/>
      <c r="T95" s="92">
        <v>0.52083333333333337</v>
      </c>
      <c r="U95" s="129">
        <v>0.55277777777777781</v>
      </c>
      <c r="V95" s="142">
        <f t="shared" ref="V95:V101" si="74">U95-T95</f>
        <v>3.1944444444444442E-2</v>
      </c>
      <c r="W95" s="141">
        <f>IF(V95="","",IF(SUM(V95-ref!E$38)&gt;0,0,IF(V95=0, "0:00", SUM(V95-ref!E$38))))</f>
        <v>0</v>
      </c>
      <c r="X95" s="136"/>
      <c r="Y95" s="92"/>
      <c r="Z95" s="247"/>
      <c r="AA95" s="142">
        <f>Z95-Y95</f>
        <v>0</v>
      </c>
      <c r="AB95" s="244" t="str">
        <f>IF(AA95="","",IF(SUM(AA95-ref!E$38)&gt;0,0,IF(AA95=0, "0:00", SUM(AA95-ref!E$38))))</f>
        <v>0:00</v>
      </c>
      <c r="AC95" s="29"/>
      <c r="AD95" s="106"/>
      <c r="AE95" s="111">
        <f>SUM(AF95:AF101)</f>
        <v>5</v>
      </c>
      <c r="AF95" s="77">
        <f t="shared" ref="AF95:AF101" si="75">IF(AND(H95&lt;&gt;"",J95&lt;&gt;""),1,0+OR(N(J94)&lt;N(H94),F95="récupération",F95="congé 1 jour",F95="congé 1/2 jour ",F95="congé 5h24",F95="arrêt maladie",F95="arrêt travail",F95="férié ",F95="congé parentale",F95="congé de naissance"))</f>
        <v>1</v>
      </c>
      <c r="AG95" s="19"/>
      <c r="AH95" s="176" t="s">
        <v>71</v>
      </c>
      <c r="AI95" s="54" t="s">
        <v>68</v>
      </c>
      <c r="AJ95" s="177" t="s">
        <v>72</v>
      </c>
      <c r="AK95" s="55" cm="1">
        <f t="array" ref="AK95">IF(ISNUMBER(G96),G96-_xlfn.AGGREGATE(14,6,(K$4:K95&lt;G96)*K$4:K95,1),"")</f>
        <v>0.69652777777810115</v>
      </c>
      <c r="AL95" s="20">
        <f>IF(ISNUMBER(AK95),ABS(IF(SUM(AK95-ref!E$9)&gt;0,0,SUM(AK95-ref!E$9))),"")</f>
        <v>0</v>
      </c>
      <c r="AQ95"/>
    </row>
    <row r="96" spans="2:43" x14ac:dyDescent="0.25">
      <c r="B96" s="79" t="s">
        <v>1</v>
      </c>
      <c r="C96" s="88" t="s">
        <v>20</v>
      </c>
      <c r="D96" s="88"/>
      <c r="E96" s="154">
        <f t="shared" ref="E96:E101" si="76">E95+1</f>
        <v>43894</v>
      </c>
      <c r="F96" s="159" t="s">
        <v>20</v>
      </c>
      <c r="G96" s="155">
        <f t="shared" si="72"/>
        <v>43894.375</v>
      </c>
      <c r="H96" s="29">
        <v>0.375</v>
      </c>
      <c r="I96" s="23">
        <f t="shared" ref="I96:I101" si="77">SUM(V96+AA96+AC96)</f>
        <v>3.3333333333333326E-2</v>
      </c>
      <c r="J96" s="29">
        <v>0.90347222222222223</v>
      </c>
      <c r="K96" s="46">
        <f t="shared" si="73"/>
        <v>43894.90347222222</v>
      </c>
      <c r="L96" s="21">
        <f>IF(OR(F96="télétravail",F96="férié travaillé",F96="travail"),(J96-H96+IF(H96&gt;J96,1)-I96),INDEX(ref!$E$22:'ref'!$E$37,MATCH(F96,gerald3,0)))</f>
        <v>0.49513888888888891</v>
      </c>
      <c r="M96" s="13">
        <f>IF(SUM(L96-ref!E$8)&lt;0,0,SUM(L96-ref!E$8))</f>
        <v>7.8472222222222221E-2</v>
      </c>
      <c r="N96" s="252">
        <f>L96-(hs!D95+hs!F95+hs!H95+hs!J95)</f>
        <v>-0.16597222222222219</v>
      </c>
      <c r="O96" s="8">
        <f>IF(OR(F96="férié travaillé",F96="travail",F96="asa",F96="rtt"),J96-H96+IF(H96&gt;J96,1),INDEX(ref!$E$22:'ref'!$E$37,MATCH(F96,gerald2,0)))</f>
        <v>0.52847222222222223</v>
      </c>
      <c r="P96" s="14">
        <f>IF(SUM(O96-ref!E$4)&lt;0,0,SUM(O96-ref!E$4))</f>
        <v>2.8472222222222232E-2</v>
      </c>
      <c r="Q96" s="24">
        <f t="shared" ref="Q96:Q101" si="78">Q95+L96</f>
        <v>0.76458333333333339</v>
      </c>
      <c r="S96" s="137"/>
      <c r="T96" s="92">
        <v>0.50486111111111109</v>
      </c>
      <c r="U96" s="129">
        <v>0.53819444444444442</v>
      </c>
      <c r="V96" s="142">
        <f t="shared" si="74"/>
        <v>3.3333333333333326E-2</v>
      </c>
      <c r="W96" s="141">
        <f>IF(V96="","",IF(SUM(V96-ref!E$38)&gt;0,0,IF(V96=0, "0:00", SUM(V96-ref!E$38))))</f>
        <v>0</v>
      </c>
      <c r="X96" s="137"/>
      <c r="Y96" s="92"/>
      <c r="Z96" s="247"/>
      <c r="AA96" s="142">
        <f t="shared" ref="AA96:AA101" si="79">Z96-Y96</f>
        <v>0</v>
      </c>
      <c r="AB96" s="245" t="str">
        <f>IF(AA96="","",IF(SUM(AA96-ref!E$38)&gt;0,0,IF(AA96=0, "0:00", SUM(AA96-ref!E$38))))</f>
        <v>0:00</v>
      </c>
      <c r="AC96" s="29"/>
      <c r="AD96" s="106"/>
      <c r="AE96" s="112">
        <f>IF(SUM(AE95-ref!E$7)&lt;0,0,SUM(AE95-ref!E$7))</f>
        <v>0</v>
      </c>
      <c r="AF96" s="77">
        <f t="shared" si="75"/>
        <v>1</v>
      </c>
      <c r="AG96" s="19"/>
      <c r="AH96" s="178" t="s">
        <v>72</v>
      </c>
      <c r="AI96" s="54" t="s">
        <v>68</v>
      </c>
      <c r="AJ96" s="177" t="s">
        <v>73</v>
      </c>
      <c r="AK96" s="55" cm="1">
        <f t="array" ref="AK96">IF(ISNUMBER(G97),G97-_xlfn.AGGREGATE(14,6,(K$4:K96&lt;G97)*K$4:K96,1),"")</f>
        <v>0.56805555555911269</v>
      </c>
      <c r="AL96" s="20">
        <f>IF(ISNUMBER(AK96),ABS(IF(SUM(AK96-ref!E$9)&gt;0,0,SUM(AK96-ref!E$9))),"")</f>
        <v>0</v>
      </c>
      <c r="AQ96"/>
    </row>
    <row r="97" spans="2:43" x14ac:dyDescent="0.25">
      <c r="B97" s="80">
        <v>4</v>
      </c>
      <c r="C97" s="88" t="s">
        <v>20</v>
      </c>
      <c r="D97" s="88"/>
      <c r="E97" s="154">
        <f t="shared" si="76"/>
        <v>43895</v>
      </c>
      <c r="F97" s="159" t="s">
        <v>20</v>
      </c>
      <c r="G97" s="155">
        <f t="shared" si="72"/>
        <v>43895.47152777778</v>
      </c>
      <c r="H97" s="29">
        <v>0.47152777777777777</v>
      </c>
      <c r="I97" s="23">
        <f t="shared" si="77"/>
        <v>4.166666666666663E-2</v>
      </c>
      <c r="J97" s="29">
        <v>0.75555555555555554</v>
      </c>
      <c r="K97" s="46">
        <f t="shared" si="73"/>
        <v>43895.755555555559</v>
      </c>
      <c r="L97" s="21">
        <f>IF(OR(F97="télétravail",F97="férié travaillé",F97="travail"),(J97-H97+IF(H97&gt;J97,1)-I97),INDEX(ref!$E$22:'ref'!$E$37,MATCH(F97,gerald3,0)))</f>
        <v>0.24236111111111114</v>
      </c>
      <c r="M97" s="13">
        <f>IF(SUM(L97-ref!E$8)&lt;0,0,SUM(L97-ref!E$8))</f>
        <v>0</v>
      </c>
      <c r="N97" s="252">
        <f>L97-(hs!D96+hs!F96+hs!H96+hs!J96)</f>
        <v>-4.166666666666663E-2</v>
      </c>
      <c r="O97" s="8">
        <f>IF(OR(F97="férié travaillé",F97="travail",F97="asa",F97="rtt"),J97-H97+IF(H97&gt;J97,1),INDEX(ref!$E$22:'ref'!$E$37,MATCH(F97,gerald2,0)))</f>
        <v>0.28402777777777777</v>
      </c>
      <c r="P97" s="14">
        <f>IF(SUM(O97-ref!E$4)&lt;0,0,SUM(O97-ref!E$4))</f>
        <v>0</v>
      </c>
      <c r="Q97" s="24">
        <f t="shared" si="78"/>
        <v>1.0069444444444446</v>
      </c>
      <c r="S97" s="137"/>
      <c r="T97" s="92">
        <v>0.51111111111111118</v>
      </c>
      <c r="U97" s="129">
        <v>0.55277777777777781</v>
      </c>
      <c r="V97" s="142">
        <f t="shared" si="74"/>
        <v>4.166666666666663E-2</v>
      </c>
      <c r="W97" s="141">
        <f>IF(V97="","",IF(SUM(V97-ref!E$38)&gt;0,0,IF(V97=0, "0:00", SUM(V97-ref!E$38))))</f>
        <v>0</v>
      </c>
      <c r="X97" s="137"/>
      <c r="Y97" s="92"/>
      <c r="Z97" s="247"/>
      <c r="AA97" s="142">
        <f t="shared" si="79"/>
        <v>0</v>
      </c>
      <c r="AB97" s="245" t="str">
        <f>IF(AA97="","",IF(SUM(AA97-ref!E$38)&gt;0,0,IF(AA97=0, "0:00", SUM(AA97-ref!E$38))))</f>
        <v>0:00</v>
      </c>
      <c r="AC97" s="29"/>
      <c r="AD97" s="106"/>
      <c r="AE97" s="113" t="s">
        <v>29</v>
      </c>
      <c r="AF97" s="77">
        <f t="shared" si="75"/>
        <v>1</v>
      </c>
      <c r="AG97" s="19"/>
      <c r="AH97" s="178" t="s">
        <v>73</v>
      </c>
      <c r="AI97" s="54" t="s">
        <v>68</v>
      </c>
      <c r="AJ97" s="177" t="s">
        <v>74</v>
      </c>
      <c r="AK97" s="55" cm="1">
        <f t="array" ref="AK97">IF(ISNUMBER(G98),G98-_xlfn.AGGREGATE(14,6,(K$4:K97&lt;G98)*K$4:K97,1),"")</f>
        <v>0.62291666665987577</v>
      </c>
      <c r="AL97" s="20">
        <f>IF(ISNUMBER(AK97),ABS(IF(SUM(AK97-ref!E$9)&gt;0,0,SUM(AK97-ref!E$9))),"")</f>
        <v>0</v>
      </c>
      <c r="AQ97"/>
    </row>
    <row r="98" spans="2:43" x14ac:dyDescent="0.25">
      <c r="B98" s="79" t="s">
        <v>58</v>
      </c>
      <c r="C98" s="88" t="s">
        <v>20</v>
      </c>
      <c r="D98" s="88"/>
      <c r="E98" s="154">
        <f t="shared" si="76"/>
        <v>43896</v>
      </c>
      <c r="F98" s="159" t="s">
        <v>20</v>
      </c>
      <c r="G98" s="155">
        <f t="shared" si="72"/>
        <v>43896.378472222219</v>
      </c>
      <c r="H98" s="29">
        <v>0.37847222222222227</v>
      </c>
      <c r="I98" s="23">
        <f t="shared" si="77"/>
        <v>3.5416666666666652E-2</v>
      </c>
      <c r="J98" s="29">
        <v>0.76180555555555562</v>
      </c>
      <c r="K98" s="46">
        <f t="shared" si="73"/>
        <v>43896.761805555558</v>
      </c>
      <c r="L98" s="21">
        <f>IF(OR(F98="télétravail",F98="férié travaillé",F98="travail"),(J98-H98+IF(H98&gt;J98,1)-I98),INDEX(ref!$E$22:'ref'!$E$37,MATCH(F98,gerald3,0)))</f>
        <v>0.34791666666666671</v>
      </c>
      <c r="M98" s="13">
        <f>IF(SUM(L98-ref!E$8)&lt;0,0,SUM(L98-ref!E$8))</f>
        <v>0</v>
      </c>
      <c r="N98" s="252">
        <f>L98-(hs!D97+hs!F97+hs!H97+hs!J97)</f>
        <v>-3.5416666666666652E-2</v>
      </c>
      <c r="O98" s="8">
        <f>IF(OR(F98="férié travaillé",F98="travail",F98="asa",F98="rtt"),J98-H98+IF(H98&gt;J98,1),INDEX(ref!$E$22:'ref'!$E$37,MATCH(F98,gerald2,0)))</f>
        <v>0.38333333333333336</v>
      </c>
      <c r="P98" s="14">
        <f>IF(SUM(O98-ref!E$4)&lt;0,0,SUM(O98-ref!E$4))</f>
        <v>0</v>
      </c>
      <c r="Q98" s="24">
        <f t="shared" si="78"/>
        <v>1.3548611111111113</v>
      </c>
      <c r="S98" s="137"/>
      <c r="T98" s="92">
        <v>0.53680555555555554</v>
      </c>
      <c r="U98" s="129">
        <v>0.57222222222222219</v>
      </c>
      <c r="V98" s="142">
        <f t="shared" si="74"/>
        <v>3.5416666666666652E-2</v>
      </c>
      <c r="W98" s="141">
        <f>IF(V98="","",IF(SUM(V98-ref!E$38)&gt;0,0,IF(V98=0, "0:00", SUM(V98-ref!E$38))))</f>
        <v>0</v>
      </c>
      <c r="X98" s="137"/>
      <c r="Y98" s="92"/>
      <c r="Z98" s="247"/>
      <c r="AA98" s="142">
        <f t="shared" si="79"/>
        <v>0</v>
      </c>
      <c r="AB98" s="245" t="str">
        <f>IF(AA98="","",IF(SUM(AA98-ref!E$38)&gt;0,0,IF(AA98=0, "0:00", SUM(AA98-ref!E$38))))</f>
        <v>0:00</v>
      </c>
      <c r="AC98" s="29"/>
      <c r="AD98" s="106"/>
      <c r="AE98" s="114">
        <f>Q101</f>
        <v>1.7638888888888891</v>
      </c>
      <c r="AF98" s="77">
        <f t="shared" si="75"/>
        <v>1</v>
      </c>
      <c r="AG98" s="19"/>
      <c r="AH98" s="178" t="s">
        <v>74</v>
      </c>
      <c r="AI98" s="54" t="s">
        <v>68</v>
      </c>
      <c r="AJ98" s="177" t="s">
        <v>75</v>
      </c>
      <c r="AK98" s="55" cm="1">
        <f t="array" ref="AK98">IF(ISNUMBER(G99),G99-_xlfn.AGGREGATE(14,6,(K$4:K98&lt;G99)*K$4:K98,1),"")</f>
        <v>0.68958333333284827</v>
      </c>
      <c r="AL98" s="20">
        <f>IF(ISNUMBER(AK98),ABS(IF(SUM(AK98-ref!E$9)&gt;0,0,SUM(AK98-ref!E$9))),"")</f>
        <v>0</v>
      </c>
      <c r="AQ98"/>
    </row>
    <row r="99" spans="2:43" x14ac:dyDescent="0.25">
      <c r="B99" s="81">
        <v>3</v>
      </c>
      <c r="C99" s="88" t="s">
        <v>20</v>
      </c>
      <c r="D99" s="88"/>
      <c r="E99" s="154">
        <f t="shared" si="76"/>
        <v>43897</v>
      </c>
      <c r="F99" s="159" t="s">
        <v>20</v>
      </c>
      <c r="G99" s="155">
        <f t="shared" si="72"/>
        <v>43897.451388888891</v>
      </c>
      <c r="H99" s="29">
        <v>0.4513888888888889</v>
      </c>
      <c r="I99" s="23">
        <f t="shared" si="77"/>
        <v>2.083333333333337E-2</v>
      </c>
      <c r="J99" s="29">
        <v>0.88124999999999998</v>
      </c>
      <c r="K99" s="46">
        <f t="shared" si="73"/>
        <v>43897.881249999999</v>
      </c>
      <c r="L99" s="21">
        <f>IF(OR(F99="télétravail",F99="férié travaillé",F99="travail"),(J99-H99+IF(H99&gt;J99,1)-I99),INDEX(ref!$E$22:'ref'!$E$37,MATCH(F99,gerald3,0)))</f>
        <v>0.40902777777777771</v>
      </c>
      <c r="M99" s="13">
        <f>IF(SUM(L99-ref!E$8)&lt;0,0,SUM(L99-ref!E$8))</f>
        <v>0</v>
      </c>
      <c r="N99" s="252">
        <f>L99-(hs!D98+hs!F98+hs!H98+hs!J98)</f>
        <v>-0.13124999999999992</v>
      </c>
      <c r="O99" s="8">
        <f>IF(OR(F99="férié travaillé",F99="travail",F99="asa",F99="rtt"),J99-H99+IF(H99&gt;J99,1),INDEX(ref!$E$22:'ref'!$E$37,MATCH(F99,gerald2,0)))</f>
        <v>0.42986111111111108</v>
      </c>
      <c r="P99" s="14">
        <f>IF(SUM(O99-ref!E$4)&lt;0,0,SUM(O99-ref!E$4))</f>
        <v>0</v>
      </c>
      <c r="Q99" s="24">
        <f t="shared" si="78"/>
        <v>1.7638888888888891</v>
      </c>
      <c r="S99" s="137"/>
      <c r="T99" s="92">
        <v>0.56111111111111112</v>
      </c>
      <c r="U99" s="129">
        <v>0.58194444444444449</v>
      </c>
      <c r="V99" s="142">
        <f t="shared" si="74"/>
        <v>2.083333333333337E-2</v>
      </c>
      <c r="W99" s="141">
        <f>IF(V99="","",IF(SUM(V99-ref!E$38)&gt;0,0,IF(V99=0, "0:00", SUM(V99-ref!E$38))))</f>
        <v>-1.041666666666663E-2</v>
      </c>
      <c r="X99" s="137"/>
      <c r="Y99" s="92"/>
      <c r="Z99" s="247"/>
      <c r="AA99" s="142">
        <f t="shared" si="79"/>
        <v>0</v>
      </c>
      <c r="AB99" s="245" t="str">
        <f>IF(AA99="","",IF(SUM(AA99-ref!E$38)&gt;0,0,IF(AA99=0, "0:00", SUM(AA99-ref!E$38))))</f>
        <v>0:00</v>
      </c>
      <c r="AC99" s="29"/>
      <c r="AD99" s="106"/>
      <c r="AE99" s="117" t="s">
        <v>47</v>
      </c>
      <c r="AF99" s="77">
        <f t="shared" si="75"/>
        <v>1</v>
      </c>
      <c r="AG99" s="19"/>
      <c r="AH99" s="178" t="s">
        <v>75</v>
      </c>
      <c r="AI99" s="54" t="s">
        <v>68</v>
      </c>
      <c r="AJ99" s="177" t="s">
        <v>76</v>
      </c>
      <c r="AK99" s="55" t="str" cm="1">
        <f t="array" ref="AK99">IF(ISNUMBER(G100),G100-_xlfn.AGGREGATE(14,6,(K$4:K99&lt;G100)*K$4:K99,1),"")</f>
        <v/>
      </c>
      <c r="AL99" s="20" t="str">
        <f>IF(ISNUMBER(AK99),ABS(IF(SUM(AK99-ref!E$9)&gt;0,0,SUM(AK99-ref!E$9))),"")</f>
        <v/>
      </c>
      <c r="AQ99"/>
    </row>
    <row r="100" spans="2:43" ht="15.75" thickBot="1" x14ac:dyDescent="0.3">
      <c r="B100"/>
      <c r="C100" s="89"/>
      <c r="D100" s="89"/>
      <c r="E100" s="154">
        <f t="shared" si="76"/>
        <v>43898</v>
      </c>
      <c r="F100" s="159" t="s">
        <v>19</v>
      </c>
      <c r="G100" s="155" t="str">
        <f t="shared" si="72"/>
        <v/>
      </c>
      <c r="H100" s="29"/>
      <c r="I100" s="23">
        <f t="shared" si="77"/>
        <v>0</v>
      </c>
      <c r="J100" s="29"/>
      <c r="K100" s="46" t="str">
        <f t="shared" si="73"/>
        <v/>
      </c>
      <c r="L100" s="21">
        <f>IF(OR(F100="télétravail",F100="férié travaillé",F100="travail"),(J100-H100+IF(H100&gt;J100,1)-I100),INDEX(ref!$E$22:'ref'!$E$37,MATCH(F100,gerald3,0)))</f>
        <v>0</v>
      </c>
      <c r="M100" s="13">
        <f>IF(SUM(L100-ref!E$8)&lt;0,0,SUM(L100-ref!E$8))</f>
        <v>0</v>
      </c>
      <c r="N100" s="252">
        <f>L100-(hs!D99+hs!F99+hs!H99+hs!J99)</f>
        <v>0</v>
      </c>
      <c r="O100" s="8">
        <f>IF(OR(F100="férié travaillé",F100="travail",F100="asa",F100="rtt"),J100-H100+IF(H100&gt;J100,1),INDEX(ref!$E$22:'ref'!$E$37,MATCH(F100,gerald2,0)))</f>
        <v>0</v>
      </c>
      <c r="P100" s="14">
        <f>IF(SUM(O100-ref!E$4)&lt;0,0,SUM(O100-ref!E$4))</f>
        <v>0</v>
      </c>
      <c r="Q100" s="97">
        <f t="shared" si="78"/>
        <v>1.7638888888888891</v>
      </c>
      <c r="S100" s="137"/>
      <c r="T100" s="92"/>
      <c r="U100" s="129"/>
      <c r="V100" s="142">
        <f t="shared" si="74"/>
        <v>0</v>
      </c>
      <c r="W100" s="141" t="str">
        <f>IF(V100="","",IF(SUM(V100-ref!E$38)&gt;0,0,IF(V100=0, "0:00", SUM(V100-ref!E$38))))</f>
        <v>0:00</v>
      </c>
      <c r="X100" s="137"/>
      <c r="Y100" s="92"/>
      <c r="Z100" s="247"/>
      <c r="AA100" s="142">
        <f t="shared" si="79"/>
        <v>0</v>
      </c>
      <c r="AB100" s="245" t="str">
        <f>IF(AA100="","",IF(SUM(AA100-ref!E$38)&gt;0,0,IF(AA100=0, "0:00", SUM(AA100-ref!E$38))))</f>
        <v>0:00</v>
      </c>
      <c r="AC100" s="29"/>
      <c r="AD100" s="106"/>
      <c r="AE100" s="118">
        <f>ref!E$11</f>
        <v>2</v>
      </c>
      <c r="AF100" s="77">
        <f t="shared" si="75"/>
        <v>0</v>
      </c>
      <c r="AG100" s="19"/>
      <c r="AH100" s="178" t="s">
        <v>76</v>
      </c>
      <c r="AI100" s="54" t="s">
        <v>68</v>
      </c>
      <c r="AJ100" s="177" t="s">
        <v>77</v>
      </c>
      <c r="AK100" s="55" t="str" cm="1">
        <f t="array" ref="AK100">IF(ISNUMBER(G101),G101-_xlfn.AGGREGATE(14,6,(K$4:K100&lt;G101)*K$4:K100,1),"")</f>
        <v/>
      </c>
      <c r="AL100" s="20" t="str">
        <f>IF(ISNUMBER(AK100),ABS(IF(SUM(AK100-ref!E$9)&gt;0,0,SUM(AK100-ref!E$9))),"")</f>
        <v/>
      </c>
      <c r="AQ100"/>
    </row>
    <row r="101" spans="2:43" ht="15.75" thickBot="1" x14ac:dyDescent="0.3">
      <c r="B101"/>
      <c r="C101" s="89"/>
      <c r="D101" s="89"/>
      <c r="E101" s="154">
        <f t="shared" si="76"/>
        <v>43899</v>
      </c>
      <c r="F101" s="160" t="s">
        <v>19</v>
      </c>
      <c r="G101" s="155" t="str">
        <f t="shared" si="72"/>
        <v/>
      </c>
      <c r="H101" s="29"/>
      <c r="I101" s="23">
        <f t="shared" si="77"/>
        <v>0</v>
      </c>
      <c r="J101" s="29"/>
      <c r="K101" s="46" t="str">
        <f t="shared" si="73"/>
        <v/>
      </c>
      <c r="L101" s="21">
        <f>IF(OR(F101="télétravail",F101="férié travaillé",F101="travail"),(J101-H101+IF(H101&gt;J101,1)-I101),INDEX(ref!$E$22:'ref'!$E$37,MATCH(F101,gerald3,0)))</f>
        <v>0</v>
      </c>
      <c r="M101" s="13">
        <f>IF(SUM(L101-ref!E$8)&lt;0,0,SUM(L101-ref!E$8))</f>
        <v>0</v>
      </c>
      <c r="N101" s="252">
        <f>L101-(hs!D100+hs!F100+hs!H100+hs!J100)</f>
        <v>0</v>
      </c>
      <c r="O101" s="8">
        <f>IF(OR(F101="férié travaillé",F101="travail",F101="asa",F101="rtt"),J101-H101+IF(H101&gt;J101,1),INDEX(ref!$E$22:'ref'!$E$37,MATCH(F101,gerald2,0)))</f>
        <v>0</v>
      </c>
      <c r="P101" s="14">
        <f>IF(SUM(O101-ref!E$4)&lt;0,0,SUM(O101-ref!E$4))</f>
        <v>0</v>
      </c>
      <c r="Q101" s="94">
        <f t="shared" si="78"/>
        <v>1.7638888888888891</v>
      </c>
      <c r="S101" s="138"/>
      <c r="T101" s="92"/>
      <c r="U101" s="129"/>
      <c r="V101" s="142">
        <f t="shared" si="74"/>
        <v>0</v>
      </c>
      <c r="W101" s="141" t="str">
        <f>IF(V101="","",IF(SUM(V101-ref!E$38)&gt;0,0,IF(V101=0, "0:00", SUM(V101-ref!E$38))))</f>
        <v>0:00</v>
      </c>
      <c r="X101" s="138"/>
      <c r="Y101" s="92"/>
      <c r="Z101" s="247"/>
      <c r="AA101" s="142">
        <f t="shared" si="79"/>
        <v>0</v>
      </c>
      <c r="AB101" s="246" t="str">
        <f>IF(AA101="","",IF(SUM(AA101-ref!E$38)&gt;0,0,IF(AA101=0, "0:00", SUM(AA101-ref!E$38))))</f>
        <v>0:00</v>
      </c>
      <c r="AC101" s="29"/>
      <c r="AD101" s="106"/>
      <c r="AE101" s="110">
        <f>IF(SUM(Q101-ref!E$11)&lt;0,0,SUM(Q101-ref!E$11))</f>
        <v>0</v>
      </c>
      <c r="AF101" s="77">
        <f t="shared" si="75"/>
        <v>0</v>
      </c>
      <c r="AG101" s="19"/>
      <c r="AQ101"/>
    </row>
    <row r="102" spans="2:43" x14ac:dyDescent="0.25">
      <c r="C102" s="89"/>
      <c r="D102" s="89"/>
      <c r="F102" s="161"/>
      <c r="S102" s="127"/>
      <c r="W102" s="74"/>
      <c r="X102" s="2"/>
      <c r="Z102"/>
      <c r="AA102" s="2"/>
      <c r="AB102" s="2"/>
      <c r="AC102" s="127"/>
      <c r="AQ102"/>
    </row>
    <row r="103" spans="2:43" x14ac:dyDescent="0.25">
      <c r="C103" s="89"/>
      <c r="D103" s="89"/>
      <c r="F103" s="157"/>
      <c r="Q103" s="16"/>
      <c r="X103" s="2"/>
      <c r="Z103"/>
      <c r="AA103" s="2"/>
      <c r="AB103" s="2"/>
      <c r="AC103" s="127"/>
      <c r="AQ103"/>
    </row>
    <row r="104" spans="2:43" ht="15.75" thickBot="1" x14ac:dyDescent="0.3">
      <c r="C104" s="89"/>
      <c r="D104" s="89"/>
      <c r="F104" s="157"/>
      <c r="W104" s="74"/>
      <c r="X104" s="2"/>
      <c r="Z104"/>
      <c r="AA104" s="2"/>
      <c r="AB104" s="2"/>
      <c r="AC104" s="127"/>
      <c r="AQ104"/>
    </row>
    <row r="105" spans="2:43" x14ac:dyDescent="0.25">
      <c r="B105" s="78" t="s">
        <v>1</v>
      </c>
      <c r="C105" s="88" t="s">
        <v>20</v>
      </c>
      <c r="D105" s="88"/>
      <c r="E105" s="154">
        <f>DATE(ref!E$2,B109,B107)</f>
        <v>43900</v>
      </c>
      <c r="F105" s="158" t="s">
        <v>20</v>
      </c>
      <c r="G105" s="155">
        <f t="shared" ref="G105:G111" si="80">IF(AND(J105="",H105=""),"",E105+H105)</f>
        <v>43900.379166666666</v>
      </c>
      <c r="H105" s="29">
        <v>0.37916666666666665</v>
      </c>
      <c r="I105" s="23">
        <f>SUM(V105+AA105+AC105)</f>
        <v>3.4027777777777768E-2</v>
      </c>
      <c r="J105" s="29">
        <v>0.79861111111111116</v>
      </c>
      <c r="K105" s="46">
        <f t="shared" ref="K105:K111" si="81">IF(AND(H105="",J105=""),"",E105+J105+(H105&gt;J105))</f>
        <v>43900.798611111109</v>
      </c>
      <c r="L105" s="21">
        <f>IF(OR(F105="télétravail",F105="férié travaillé",F105="travail"),(J105-H105+IF(H105&gt;J105,1)-I105),INDEX(ref!$E$22:'ref'!$E$37,MATCH(F105,gerald3,0)))</f>
        <v>0.38541666666666674</v>
      </c>
      <c r="M105" s="13">
        <f>IF(SUM(L105-ref!E$8)&lt;0,0,SUM(L105-ref!E$8))</f>
        <v>0</v>
      </c>
      <c r="N105" s="252">
        <f>L105-(hs!D104+hs!F104+hs!H104+hs!J104)</f>
        <v>-6.1805555555555558E-2</v>
      </c>
      <c r="O105" s="8">
        <f>IF(OR(F105="férié travaillé",F105="travail",F105="asa",F105="rtt"),J105-H105+IF(H105&gt;J105,1),INDEX(ref!$E$22:'ref'!$E$37,MATCH(F105,gerald2,0)))</f>
        <v>0.41944444444444451</v>
      </c>
      <c r="P105" s="14">
        <f>IF(SUM(O105-ref!E$4)&lt;0,0,SUM(O105-ref!E$4))</f>
        <v>0</v>
      </c>
      <c r="Q105" s="21">
        <f>L105</f>
        <v>0.38541666666666674</v>
      </c>
      <c r="S105" s="136"/>
      <c r="T105" s="92">
        <v>0.52152777777777781</v>
      </c>
      <c r="U105" s="129">
        <v>0.55555555555555558</v>
      </c>
      <c r="V105" s="142">
        <f t="shared" ref="V105:V111" si="82">U105-T105</f>
        <v>3.4027777777777768E-2</v>
      </c>
      <c r="W105" s="141">
        <f>IF(V105="","",IF(SUM(V105-ref!E$38)&gt;0,0,IF(V105=0, "0:00", SUM(V105-ref!E$38))))</f>
        <v>0</v>
      </c>
      <c r="X105" s="136"/>
      <c r="Y105" s="92"/>
      <c r="Z105" s="128"/>
      <c r="AA105" s="71">
        <f>Z105-Y105</f>
        <v>0</v>
      </c>
      <c r="AB105" s="108" t="str">
        <f>IF(AA105="","",IF(SUM(AA105-ref!E$38)&gt;0,0,IF(AA105=0, "0:00", SUM(AA105-ref!E$38))))</f>
        <v>0:00</v>
      </c>
      <c r="AC105" s="29"/>
      <c r="AD105" s="106"/>
      <c r="AE105" s="111">
        <f>SUM(AF105:AF111)</f>
        <v>5</v>
      </c>
      <c r="AF105" s="77">
        <f t="shared" ref="AF105:AF111" si="83">IF(AND(H105&lt;&gt;"",J105&lt;&gt;""),1,0+OR(N(J104)&lt;N(H104),F105="récupération",F105="congé 1 jour",F105="congé 1/2 jour ",F105="congé 5h24",F105="arrêt maladie",F105="arrêt travail",F105="férié ",F105="congé parentale",F105="congé de naissance"))</f>
        <v>1</v>
      </c>
      <c r="AG105" s="19"/>
      <c r="AH105" s="176" t="s">
        <v>71</v>
      </c>
      <c r="AI105" s="54" t="s">
        <v>68</v>
      </c>
      <c r="AJ105" s="177" t="s">
        <v>72</v>
      </c>
      <c r="AK105" s="55" cm="1">
        <f t="array" ref="AK105">IF(ISNUMBER(G106),G106-_xlfn.AGGREGATE(14,6,(K$4:K105&lt;G106)*K$4:K105,1),"")</f>
        <v>0.58194444444961846</v>
      </c>
      <c r="AL105" s="20">
        <f>IF(ISNUMBER(AK105),ABS(IF(SUM(AK105-ref!E$9)&gt;0,0,SUM(AK105-ref!E$9))),"")</f>
        <v>0</v>
      </c>
      <c r="AQ105"/>
    </row>
    <row r="106" spans="2:43" x14ac:dyDescent="0.25">
      <c r="B106" s="79" t="s">
        <v>1</v>
      </c>
      <c r="C106" s="88" t="s">
        <v>20</v>
      </c>
      <c r="D106" s="88"/>
      <c r="E106" s="154">
        <f t="shared" ref="E106:E111" si="84">E105+1</f>
        <v>43901</v>
      </c>
      <c r="F106" s="159" t="s">
        <v>20</v>
      </c>
      <c r="G106" s="155">
        <f t="shared" si="80"/>
        <v>43901.380555555559</v>
      </c>
      <c r="H106" s="29">
        <v>0.38055555555555554</v>
      </c>
      <c r="I106" s="23">
        <f t="shared" ref="I106:I111" si="85">SUM(V106+AA106+AC106)</f>
        <v>2.430555555555558E-2</v>
      </c>
      <c r="J106" s="29">
        <v>0.76527777777777783</v>
      </c>
      <c r="K106" s="46">
        <f t="shared" si="81"/>
        <v>43901.765277777777</v>
      </c>
      <c r="L106" s="21">
        <f>IF(OR(F106="télétravail",F106="férié travaillé",F106="travail"),(J106-H106+IF(H106&gt;J106,1)-I106),INDEX(ref!$E$22:'ref'!$E$37,MATCH(F106,gerald3,0)))</f>
        <v>0.36041666666666672</v>
      </c>
      <c r="M106" s="13">
        <f>IF(SUM(L106-ref!E$8)&lt;0,0,SUM(L106-ref!E$8))</f>
        <v>0</v>
      </c>
      <c r="N106" s="252">
        <f>L106-(hs!D105+hs!F105+hs!H105+hs!J105)</f>
        <v>-2.430555555555558E-2</v>
      </c>
      <c r="O106" s="8">
        <f>IF(OR(F106="férié travaillé",F106="travail",F106="asa",F106="rtt"),J106-H106+IF(H106&gt;J106,1),INDEX(ref!$E$22:'ref'!$E$37,MATCH(F106,gerald2,0)))</f>
        <v>0.3847222222222223</v>
      </c>
      <c r="P106" s="14">
        <f>IF(SUM(O106-ref!E$4)&lt;0,0,SUM(O106-ref!E$4))</f>
        <v>0</v>
      </c>
      <c r="Q106" s="24">
        <f t="shared" ref="Q106:Q111" si="86">Q105+L106</f>
        <v>0.74583333333333346</v>
      </c>
      <c r="S106" s="137"/>
      <c r="T106" s="92">
        <v>0.50277777777777777</v>
      </c>
      <c r="U106" s="129">
        <v>0.52708333333333335</v>
      </c>
      <c r="V106" s="142">
        <f t="shared" si="82"/>
        <v>2.430555555555558E-2</v>
      </c>
      <c r="W106" s="141">
        <f>IF(V106="","",IF(SUM(V106-ref!E$38)&gt;0,0,IF(V106=0, "0:00", SUM(V106-ref!E$38))))</f>
        <v>-6.9444444444444198E-3</v>
      </c>
      <c r="X106" s="137"/>
      <c r="Y106" s="92"/>
      <c r="Z106" s="128"/>
      <c r="AA106" s="71">
        <f t="shared" ref="AA106:AA111" si="87">Z106-Y106</f>
        <v>0</v>
      </c>
      <c r="AB106" s="109" t="str">
        <f>IF(AA106="","",IF(SUM(AA106-ref!E$38)&gt;0,0,IF(AA106=0, "0:00", SUM(AA106-ref!E$38))))</f>
        <v>0:00</v>
      </c>
      <c r="AC106" s="29"/>
      <c r="AD106" s="106"/>
      <c r="AE106" s="112">
        <f>IF(SUM(AE105-ref!E$7)&lt;0,0,SUM(AE105-ref!E$7))</f>
        <v>0</v>
      </c>
      <c r="AF106" s="77">
        <f t="shared" si="83"/>
        <v>1</v>
      </c>
      <c r="AG106" s="19"/>
      <c r="AH106" s="178" t="s">
        <v>72</v>
      </c>
      <c r="AI106" s="54" t="s">
        <v>68</v>
      </c>
      <c r="AJ106" s="177" t="s">
        <v>73</v>
      </c>
      <c r="AK106" s="55" cm="1">
        <f t="array" ref="AK106">IF(ISNUMBER(G107),G107-_xlfn.AGGREGATE(14,6,(K$4:K106&lt;G107)*K$4:K106,1),"")</f>
        <v>0.64583333333575865</v>
      </c>
      <c r="AL106" s="20">
        <f>IF(ISNUMBER(AK106),ABS(IF(SUM(AK106-ref!E$9)&gt;0,0,SUM(AK106-ref!E$9))),"")</f>
        <v>0</v>
      </c>
      <c r="AQ106"/>
    </row>
    <row r="107" spans="2:43" x14ac:dyDescent="0.25">
      <c r="B107" s="80">
        <v>11</v>
      </c>
      <c r="C107" s="88" t="s">
        <v>20</v>
      </c>
      <c r="D107" s="88"/>
      <c r="E107" s="154">
        <f t="shared" si="84"/>
        <v>43902</v>
      </c>
      <c r="F107" s="159" t="s">
        <v>20</v>
      </c>
      <c r="G107" s="155">
        <f t="shared" si="80"/>
        <v>43902.411111111112</v>
      </c>
      <c r="H107" s="29">
        <v>0.41111111111111115</v>
      </c>
      <c r="I107" s="23">
        <f t="shared" si="85"/>
        <v>3.9583333333333304E-2</v>
      </c>
      <c r="J107" s="29">
        <v>0.9243055555555556</v>
      </c>
      <c r="K107" s="46">
        <f t="shared" si="81"/>
        <v>43902.924305555556</v>
      </c>
      <c r="L107" s="21">
        <f>IF(OR(F107="télétravail",F107="férié travaillé",F107="travail"),(J107-H107+IF(H107&gt;J107,1)-I107),INDEX(ref!$E$22:'ref'!$E$37,MATCH(F107,gerald3,0)))</f>
        <v>0.4736111111111112</v>
      </c>
      <c r="M107" s="13">
        <f>IF(SUM(L107-ref!E$8)&lt;0,0,SUM(L107-ref!E$8))</f>
        <v>5.694444444444452E-2</v>
      </c>
      <c r="N107" s="252">
        <f>L107-(hs!D106+hs!F106+hs!H106+hs!J106)</f>
        <v>-0.19305555555555554</v>
      </c>
      <c r="O107" s="8">
        <f>IF(OR(F107="férié travaillé",F107="travail",F107="asa",F107="rtt"),J107-H107+IF(H107&gt;J107,1),INDEX(ref!$E$22:'ref'!$E$37,MATCH(F107,gerald2,0)))</f>
        <v>0.51319444444444451</v>
      </c>
      <c r="P107" s="14">
        <f>IF(SUM(O107-ref!E$4)&lt;0,0,SUM(O107-ref!E$4))</f>
        <v>1.3194444444444509E-2</v>
      </c>
      <c r="Q107" s="24">
        <f t="shared" si="86"/>
        <v>1.2194444444444446</v>
      </c>
      <c r="S107" s="137"/>
      <c r="T107" s="92">
        <v>0.50486111111111109</v>
      </c>
      <c r="U107" s="129">
        <v>0.5444444444444444</v>
      </c>
      <c r="V107" s="142">
        <f t="shared" si="82"/>
        <v>3.9583333333333304E-2</v>
      </c>
      <c r="W107" s="141">
        <f>IF(V107="","",IF(SUM(V107-ref!E$38)&gt;0,0,IF(V107=0, "0:00", SUM(V107-ref!E$38))))</f>
        <v>0</v>
      </c>
      <c r="X107" s="137"/>
      <c r="Y107" s="92"/>
      <c r="Z107" s="128"/>
      <c r="AA107" s="71">
        <f t="shared" si="87"/>
        <v>0</v>
      </c>
      <c r="AB107" s="109" t="str">
        <f>IF(AA107="","",IF(SUM(AA107-ref!E$38)&gt;0,0,IF(AA107=0, "0:00", SUM(AA107-ref!E$38))))</f>
        <v>0:00</v>
      </c>
      <c r="AC107" s="29"/>
      <c r="AD107" s="106"/>
      <c r="AE107" s="113" t="s">
        <v>29</v>
      </c>
      <c r="AF107" s="77">
        <f t="shared" si="83"/>
        <v>1</v>
      </c>
      <c r="AG107" s="19"/>
      <c r="AH107" s="178" t="s">
        <v>73</v>
      </c>
      <c r="AI107" s="54" t="s">
        <v>68</v>
      </c>
      <c r="AJ107" s="177" t="s">
        <v>74</v>
      </c>
      <c r="AK107" s="55" cm="1">
        <f t="array" ref="AK107">IF(ISNUMBER(G108),G108-_xlfn.AGGREGATE(14,6,(K$4:K107&lt;G108)*K$4:K107,1),"")</f>
        <v>0.49236111110803904</v>
      </c>
      <c r="AL107" s="20">
        <f>IF(ISNUMBER(AK107),ABS(IF(SUM(AK107-ref!E$9)&gt;0,0,SUM(AK107-ref!E$9))),"")</f>
        <v>0</v>
      </c>
      <c r="AQ107"/>
    </row>
    <row r="108" spans="2:43" x14ac:dyDescent="0.25">
      <c r="B108" s="79" t="s">
        <v>58</v>
      </c>
      <c r="C108" s="88" t="s">
        <v>20</v>
      </c>
      <c r="D108" s="88"/>
      <c r="E108" s="154">
        <f t="shared" si="84"/>
        <v>43903</v>
      </c>
      <c r="F108" s="159" t="s">
        <v>20</v>
      </c>
      <c r="G108" s="155">
        <f t="shared" si="80"/>
        <v>43903.416666666664</v>
      </c>
      <c r="H108" s="29">
        <v>0.41666666666666669</v>
      </c>
      <c r="I108" s="23">
        <f t="shared" si="85"/>
        <v>3.1944444444444553E-2</v>
      </c>
      <c r="J108" s="29">
        <v>0.83472222222222225</v>
      </c>
      <c r="K108" s="46">
        <f t="shared" si="81"/>
        <v>43903.834722222222</v>
      </c>
      <c r="L108" s="21">
        <f>IF(OR(F108="télétravail",F108="férié travaillé",F108="travail"),(J108-H108+IF(H108&gt;J108,1)-I108),INDEX(ref!$E$22:'ref'!$E$37,MATCH(F108,gerald3,0)))</f>
        <v>0.38611111111111102</v>
      </c>
      <c r="M108" s="13">
        <f>IF(SUM(L108-ref!E$8)&lt;0,0,SUM(L108-ref!E$8))</f>
        <v>0</v>
      </c>
      <c r="N108" s="252">
        <f>L108-(hs!D107+hs!F107+hs!H107+hs!J107)</f>
        <v>-9.5833333333333437E-2</v>
      </c>
      <c r="O108" s="8">
        <f>IF(OR(F108="férié travaillé",F108="travail",F108="asa",F108="rtt"),J108-H108+IF(H108&gt;J108,1),INDEX(ref!$E$22:'ref'!$E$37,MATCH(F108,gerald2,0)))</f>
        <v>0.41805555555555557</v>
      </c>
      <c r="P108" s="14">
        <f>IF(SUM(O108-ref!E$4)&lt;0,0,SUM(O108-ref!E$4))</f>
        <v>0</v>
      </c>
      <c r="Q108" s="24">
        <f t="shared" si="86"/>
        <v>1.6055555555555556</v>
      </c>
      <c r="S108" s="137"/>
      <c r="T108" s="92">
        <v>0.52013888888888882</v>
      </c>
      <c r="U108" s="129">
        <v>0.55208333333333337</v>
      </c>
      <c r="V108" s="142">
        <f t="shared" si="82"/>
        <v>3.1944444444444553E-2</v>
      </c>
      <c r="W108" s="141">
        <f>IF(V108="","",IF(SUM(V108-ref!E$38)&gt;0,0,IF(V108=0, "0:00", SUM(V108-ref!E$38))))</f>
        <v>0</v>
      </c>
      <c r="X108" s="137"/>
      <c r="Y108" s="92"/>
      <c r="Z108" s="128"/>
      <c r="AA108" s="71">
        <f t="shared" si="87"/>
        <v>0</v>
      </c>
      <c r="AB108" s="109" t="str">
        <f>IF(AA108="","",IF(SUM(AA108-ref!E$38)&gt;0,0,IF(AA108=0, "0:00", SUM(AA108-ref!E$38))))</f>
        <v>0:00</v>
      </c>
      <c r="AC108" s="29"/>
      <c r="AD108" s="106"/>
      <c r="AE108" s="114">
        <f>Q111</f>
        <v>1.9583333333333335</v>
      </c>
      <c r="AF108" s="77">
        <f t="shared" si="83"/>
        <v>1</v>
      </c>
      <c r="AG108" s="19"/>
      <c r="AH108" s="178" t="s">
        <v>74</v>
      </c>
      <c r="AI108" s="54" t="s">
        <v>68</v>
      </c>
      <c r="AJ108" s="177" t="s">
        <v>75</v>
      </c>
      <c r="AK108" s="55" cm="1">
        <f t="array" ref="AK108">IF(ISNUMBER(G109),G109-_xlfn.AGGREGATE(14,6,(K$4:K108&lt;G109)*K$4:K108,1),"")</f>
        <v>0.54027777777810115</v>
      </c>
      <c r="AL108" s="20">
        <f>IF(ISNUMBER(AK108),ABS(IF(SUM(AK108-ref!E$9)&gt;0,0,SUM(AK108-ref!E$9))),"")</f>
        <v>0</v>
      </c>
      <c r="AQ108"/>
    </row>
    <row r="109" spans="2:43" x14ac:dyDescent="0.25">
      <c r="B109" s="81">
        <v>3</v>
      </c>
      <c r="C109" s="88" t="s">
        <v>20</v>
      </c>
      <c r="D109" s="88"/>
      <c r="E109" s="154">
        <f t="shared" si="84"/>
        <v>43904</v>
      </c>
      <c r="F109" s="159" t="s">
        <v>20</v>
      </c>
      <c r="G109" s="155">
        <f t="shared" si="80"/>
        <v>43904.375</v>
      </c>
      <c r="H109" s="29">
        <v>0.375</v>
      </c>
      <c r="I109" s="23">
        <f t="shared" si="85"/>
        <v>1.9444444444444486E-2</v>
      </c>
      <c r="J109" s="29">
        <v>0.74722222222222223</v>
      </c>
      <c r="K109" s="46">
        <f t="shared" si="81"/>
        <v>43904.74722222222</v>
      </c>
      <c r="L109" s="21">
        <f>IF(OR(F109="télétravail",F109="férié travaillé",F109="travail"),(J109-H109+IF(H109&gt;J109,1)-I109),INDEX(ref!$E$22:'ref'!$E$37,MATCH(F109,gerald3,0)))</f>
        <v>0.35277777777777775</v>
      </c>
      <c r="M109" s="13">
        <f>IF(SUM(L109-ref!E$8)&lt;0,0,SUM(L109-ref!E$8))</f>
        <v>0</v>
      </c>
      <c r="N109" s="252">
        <f>L109-(hs!D108+hs!F108+hs!H108+hs!J108)</f>
        <v>-1.9444444444444486E-2</v>
      </c>
      <c r="O109" s="8">
        <f>IF(OR(F109="férié travaillé",F109="travail",F109="asa",F109="rtt"),J109-H109+IF(H109&gt;J109,1),INDEX(ref!$E$22:'ref'!$E$37,MATCH(F109,gerald2,0)))</f>
        <v>0.37222222222222223</v>
      </c>
      <c r="P109" s="14">
        <f>IF(SUM(O109-ref!E$4)&lt;0,0,SUM(O109-ref!E$4))</f>
        <v>0</v>
      </c>
      <c r="Q109" s="24">
        <f t="shared" si="86"/>
        <v>1.9583333333333335</v>
      </c>
      <c r="S109" s="137"/>
      <c r="T109" s="92">
        <v>0.56597222222222221</v>
      </c>
      <c r="U109" s="129">
        <v>0.5854166666666667</v>
      </c>
      <c r="V109" s="142">
        <f t="shared" si="82"/>
        <v>1.9444444444444486E-2</v>
      </c>
      <c r="W109" s="141">
        <f>IF(V109="","",IF(SUM(V109-ref!E$38)&gt;0,0,IF(V109=0, "0:00", SUM(V109-ref!E$38))))</f>
        <v>-1.1805555555555514E-2</v>
      </c>
      <c r="X109" s="137"/>
      <c r="Y109" s="92"/>
      <c r="Z109" s="128"/>
      <c r="AA109" s="71">
        <f t="shared" si="87"/>
        <v>0</v>
      </c>
      <c r="AB109" s="109" t="str">
        <f>IF(AA109="","",IF(SUM(AA109-ref!E$38)&gt;0,0,IF(AA109=0, "0:00", SUM(AA109-ref!E$38))))</f>
        <v>0:00</v>
      </c>
      <c r="AC109" s="29"/>
      <c r="AD109" s="106"/>
      <c r="AE109" s="117" t="s">
        <v>47</v>
      </c>
      <c r="AF109" s="77">
        <f t="shared" si="83"/>
        <v>1</v>
      </c>
      <c r="AG109" s="19"/>
      <c r="AH109" s="178" t="s">
        <v>75</v>
      </c>
      <c r="AI109" s="54" t="s">
        <v>68</v>
      </c>
      <c r="AJ109" s="177" t="s">
        <v>76</v>
      </c>
      <c r="AK109" s="55" t="str" cm="1">
        <f t="array" ref="AK109">IF(ISNUMBER(G110),G110-_xlfn.AGGREGATE(14,6,(K$4:K109&lt;G110)*K$4:K109,1),"")</f>
        <v/>
      </c>
      <c r="AL109" s="20" t="str">
        <f>IF(ISNUMBER(AK109),ABS(IF(SUM(AK109-ref!E$9)&gt;0,0,SUM(AK109-ref!E$9))),"")</f>
        <v/>
      </c>
      <c r="AQ109"/>
    </row>
    <row r="110" spans="2:43" ht="15.75" thickBot="1" x14ac:dyDescent="0.3">
      <c r="B110"/>
      <c r="C110" s="89"/>
      <c r="D110" s="89"/>
      <c r="E110" s="154">
        <f t="shared" si="84"/>
        <v>43905</v>
      </c>
      <c r="F110" s="159" t="s">
        <v>19</v>
      </c>
      <c r="G110" s="155" t="str">
        <f t="shared" si="80"/>
        <v/>
      </c>
      <c r="H110" s="29"/>
      <c r="I110" s="23">
        <f t="shared" si="85"/>
        <v>0</v>
      </c>
      <c r="J110" s="29"/>
      <c r="K110" s="46" t="str">
        <f t="shared" si="81"/>
        <v/>
      </c>
      <c r="L110" s="21">
        <f>IF(OR(F110="télétravail",F110="férié travaillé",F110="travail"),(J110-H110+IF(H110&gt;J110,1)-I110),INDEX(ref!$E$22:'ref'!$E$37,MATCH(F110,gerald3,0)))</f>
        <v>0</v>
      </c>
      <c r="M110" s="13">
        <f>IF(SUM(L110-ref!E$8)&lt;0,0,SUM(L110-ref!E$8))</f>
        <v>0</v>
      </c>
      <c r="N110" s="252">
        <f>L110-(hs!D109+hs!F109+hs!H109+hs!J109)</f>
        <v>0</v>
      </c>
      <c r="O110" s="8">
        <f>IF(OR(F110="férié travaillé",F110="travail",F110="asa",F110="rtt"),J110-H110+IF(H110&gt;J110,1),INDEX(ref!$E$22:'ref'!$E$37,MATCH(F110,gerald2,0)))</f>
        <v>0</v>
      </c>
      <c r="P110" s="14">
        <f>IF(SUM(O110-ref!E$4)&lt;0,0,SUM(O110-ref!E$4))</f>
        <v>0</v>
      </c>
      <c r="Q110" s="97">
        <f t="shared" si="86"/>
        <v>1.9583333333333335</v>
      </c>
      <c r="S110" s="137"/>
      <c r="T110" s="92"/>
      <c r="U110" s="129"/>
      <c r="V110" s="142">
        <f t="shared" si="82"/>
        <v>0</v>
      </c>
      <c r="W110" s="141" t="str">
        <f>IF(V110="","",IF(SUM(V110-ref!E$38)&gt;0,0,IF(V110=0, "0:00", SUM(V110-ref!E$38))))</f>
        <v>0:00</v>
      </c>
      <c r="X110" s="137"/>
      <c r="Y110" s="92"/>
      <c r="Z110" s="128"/>
      <c r="AA110" s="71">
        <f t="shared" si="87"/>
        <v>0</v>
      </c>
      <c r="AB110" s="109" t="str">
        <f>IF(AA110="","",IF(SUM(AA110-ref!E$38)&gt;0,0,IF(AA110=0, "0:00", SUM(AA110-ref!E$38))))</f>
        <v>0:00</v>
      </c>
      <c r="AC110" s="29"/>
      <c r="AD110" s="106"/>
      <c r="AE110" s="118">
        <f>ref!E$11</f>
        <v>2</v>
      </c>
      <c r="AF110" s="77">
        <f t="shared" si="83"/>
        <v>0</v>
      </c>
      <c r="AG110" s="19"/>
      <c r="AH110" s="178" t="s">
        <v>76</v>
      </c>
      <c r="AI110" s="54" t="s">
        <v>68</v>
      </c>
      <c r="AJ110" s="177" t="s">
        <v>77</v>
      </c>
      <c r="AK110" s="55" t="str" cm="1">
        <f t="array" ref="AK110">IF(ISNUMBER(G111),G111-_xlfn.AGGREGATE(14,6,(K$4:K110&lt;G111)*K$4:K110,1),"")</f>
        <v/>
      </c>
      <c r="AL110" s="20" t="str">
        <f>IF(ISNUMBER(AK110),ABS(IF(SUM(AK110-ref!E$9)&gt;0,0,SUM(AK110-ref!E$9))),"")</f>
        <v/>
      </c>
      <c r="AQ110"/>
    </row>
    <row r="111" spans="2:43" ht="15.75" thickBot="1" x14ac:dyDescent="0.3">
      <c r="B111"/>
      <c r="C111" s="89"/>
      <c r="D111" s="89"/>
      <c r="E111" s="154">
        <f t="shared" si="84"/>
        <v>43906</v>
      </c>
      <c r="F111" s="160" t="s">
        <v>19</v>
      </c>
      <c r="G111" s="155" t="str">
        <f t="shared" si="80"/>
        <v/>
      </c>
      <c r="H111" s="29"/>
      <c r="I111" s="23">
        <f t="shared" si="85"/>
        <v>0</v>
      </c>
      <c r="J111" s="29"/>
      <c r="K111" s="46" t="str">
        <f t="shared" si="81"/>
        <v/>
      </c>
      <c r="L111" s="21">
        <f>IF(OR(F111="télétravail",F111="férié travaillé",F111="travail"),(J111-H111+IF(H111&gt;J111,1)-I111),INDEX(ref!$E$22:'ref'!$E$37,MATCH(F111,gerald3,0)))</f>
        <v>0</v>
      </c>
      <c r="M111" s="13">
        <f>IF(SUM(L111-ref!E$8)&lt;0,0,SUM(L111-ref!E$8))</f>
        <v>0</v>
      </c>
      <c r="N111" s="252">
        <f>L111-(hs!D110+hs!F110+hs!H110+hs!J110)</f>
        <v>0</v>
      </c>
      <c r="O111" s="8">
        <f>IF(OR(F111="férié travaillé",F111="travail",F111="asa",F111="rtt"),J111-H111+IF(H111&gt;J111,1),INDEX(ref!$E$22:'ref'!$E$37,MATCH(F111,gerald2,0)))</f>
        <v>0</v>
      </c>
      <c r="P111" s="14">
        <f>IF(SUM(O111-ref!E$4)&lt;0,0,SUM(O111-ref!E$4))</f>
        <v>0</v>
      </c>
      <c r="Q111" s="94">
        <f t="shared" si="86"/>
        <v>1.9583333333333335</v>
      </c>
      <c r="S111" s="138"/>
      <c r="T111" s="92"/>
      <c r="U111" s="129"/>
      <c r="V111" s="142">
        <f t="shared" si="82"/>
        <v>0</v>
      </c>
      <c r="W111" s="141" t="str">
        <f>IF(V111="","",IF(SUM(V111-ref!E$38)&gt;0,0,IF(V111=0, "0:00", SUM(V111-ref!E$38))))</f>
        <v>0:00</v>
      </c>
      <c r="X111" s="138"/>
      <c r="Y111" s="92"/>
      <c r="Z111" s="128"/>
      <c r="AA111" s="71">
        <f t="shared" si="87"/>
        <v>0</v>
      </c>
      <c r="AB111" s="110" t="str">
        <f>IF(AA111="","",IF(SUM(AA111-ref!E$38)&gt;0,0,IF(AA111=0, "0:00", SUM(AA111-ref!E$38))))</f>
        <v>0:00</v>
      </c>
      <c r="AC111" s="29"/>
      <c r="AD111" s="106"/>
      <c r="AE111" s="110">
        <f>IF(SUM(Q111-ref!E$11)&lt;0,0,SUM(Q111-ref!E$11))</f>
        <v>0</v>
      </c>
      <c r="AF111" s="77">
        <f t="shared" si="83"/>
        <v>0</v>
      </c>
      <c r="AG111" s="19"/>
      <c r="AQ111"/>
    </row>
    <row r="112" spans="2:43" x14ac:dyDescent="0.25">
      <c r="C112" s="89"/>
      <c r="D112" s="89"/>
      <c r="F112" s="161"/>
      <c r="W112" s="74"/>
      <c r="X112" s="2"/>
      <c r="Z112"/>
      <c r="AA112" s="2"/>
      <c r="AB112" s="2"/>
      <c r="AC112" s="127"/>
      <c r="AQ112"/>
    </row>
    <row r="113" spans="2:43" x14ac:dyDescent="0.25">
      <c r="C113" s="89"/>
      <c r="D113" s="89"/>
      <c r="F113" s="157"/>
      <c r="X113" s="2"/>
      <c r="Z113"/>
      <c r="AA113" s="2"/>
      <c r="AB113" s="2"/>
      <c r="AC113" s="127"/>
      <c r="AQ113"/>
    </row>
    <row r="114" spans="2:43" ht="15.75" thickBot="1" x14ac:dyDescent="0.3">
      <c r="C114" s="89"/>
      <c r="D114" s="89"/>
      <c r="F114" s="157"/>
      <c r="W114" s="74"/>
      <c r="X114" s="2"/>
      <c r="Z114"/>
      <c r="AA114" s="2"/>
      <c r="AB114" s="2"/>
      <c r="AC114" s="127"/>
      <c r="AQ114"/>
    </row>
    <row r="115" spans="2:43" x14ac:dyDescent="0.25">
      <c r="B115" s="78" t="s">
        <v>1</v>
      </c>
      <c r="C115" s="88" t="s">
        <v>20</v>
      </c>
      <c r="D115" s="88"/>
      <c r="E115" s="154">
        <f>DATE(ref!E$2,B119,B117)</f>
        <v>43907</v>
      </c>
      <c r="F115" s="158" t="s">
        <v>20</v>
      </c>
      <c r="G115" s="155">
        <f t="shared" ref="G115:G121" si="88">IF(AND(J115="",H115=""),"",E115+H115)</f>
        <v>43907.378472222219</v>
      </c>
      <c r="H115" s="29">
        <v>0.37847222222222227</v>
      </c>
      <c r="I115" s="23">
        <f>SUM(V115+AA115+AC115)</f>
        <v>3.4722222222222321E-2</v>
      </c>
      <c r="J115" s="29">
        <v>0.71250000000000002</v>
      </c>
      <c r="K115" s="46">
        <f t="shared" ref="K115:K121" si="89">IF(AND(H115="",J115=""),"",E115+J115+(H115&gt;J115))</f>
        <v>43907.712500000001</v>
      </c>
      <c r="L115" s="21">
        <f>IF(OR(F115="télétravail",F115="férié travaillé",F115="travail"),(J115-H115+IF(H115&gt;J115,1)-I115),INDEX(ref!$E$22:'ref'!$E$37,MATCH(F115,gerald3,0)))</f>
        <v>0.29930555555555544</v>
      </c>
      <c r="M115" s="13">
        <f>IF(SUM(L115-ref!E$8)&lt;0,0,SUM(L115-ref!E$8))</f>
        <v>0</v>
      </c>
      <c r="N115" s="252">
        <f>L115-(hs!D114+hs!F114+hs!H114+hs!J114)</f>
        <v>-3.4722222222222321E-2</v>
      </c>
      <c r="O115" s="8">
        <f>IF(OR(F115="férié travaillé",F115="travail",F115="asa",F115="rtt"),J115-H115+IF(H115&gt;J115,1),INDEX(ref!$E$22:'ref'!$E$37,MATCH(F115,gerald2,0)))</f>
        <v>0.33402777777777776</v>
      </c>
      <c r="P115" s="14">
        <f>IF(SUM(O115-ref!E$4)&lt;0,0,SUM(O115-ref!E$4))</f>
        <v>0</v>
      </c>
      <c r="Q115" s="21">
        <f>L115</f>
        <v>0.29930555555555544</v>
      </c>
      <c r="S115" s="136"/>
      <c r="T115" s="92">
        <v>0.50902777777777775</v>
      </c>
      <c r="U115" s="129">
        <v>0.54375000000000007</v>
      </c>
      <c r="V115" s="142">
        <f t="shared" ref="V115:V121" si="90">U115-T115</f>
        <v>3.4722222222222321E-2</v>
      </c>
      <c r="W115" s="141">
        <f>IF(V115="","",IF(SUM(V115-ref!E$38)&gt;0,0,IF(V115=0, "0:00", SUM(V115-ref!E$38))))</f>
        <v>0</v>
      </c>
      <c r="X115" s="136"/>
      <c r="Y115" s="92"/>
      <c r="Z115" s="247"/>
      <c r="AA115" s="142">
        <f>Z115-Y115</f>
        <v>0</v>
      </c>
      <c r="AB115" s="244" t="str">
        <f>IF(AA115="","",IF(SUM(AA115-ref!E$38)&gt;0,0,IF(AA115=0, "0:00", SUM(AA115-ref!E$38))))</f>
        <v>0:00</v>
      </c>
      <c r="AC115" s="29"/>
      <c r="AD115" s="106"/>
      <c r="AE115" s="111">
        <f>SUM(AF115:AF121)</f>
        <v>5</v>
      </c>
      <c r="AF115" s="77">
        <f t="shared" ref="AF115:AF121" si="91">IF(AND(H115&lt;&gt;"",J115&lt;&gt;""),1,0+OR(N(J114)&lt;N(H114),F115="récupération",F115="congé 1 jour",F115="congé 1/2 jour ",F115="congé 5h24",F115="arrêt maladie",F115="arrêt travail",F115="férié ",F115="congé parentale",F115="congé de naissance"))</f>
        <v>1</v>
      </c>
      <c r="AG115" s="19"/>
      <c r="AH115" s="176" t="s">
        <v>71</v>
      </c>
      <c r="AI115" s="54" t="s">
        <v>68</v>
      </c>
      <c r="AJ115" s="177" t="s">
        <v>72</v>
      </c>
      <c r="AK115" s="55" cm="1">
        <f t="array" ref="AK115">IF(ISNUMBER(G116),G116-_xlfn.AGGREGATE(14,6,(K$4:K115&lt;G116)*K$4:K115,1),"")</f>
        <v>0.66249999999854481</v>
      </c>
      <c r="AL115" s="20">
        <f>IF(ISNUMBER(AK115),ABS(IF(SUM(AK115-ref!E$9)&gt;0,0,SUM(AK115-ref!E$9))),"")</f>
        <v>0</v>
      </c>
      <c r="AQ115"/>
    </row>
    <row r="116" spans="2:43" x14ac:dyDescent="0.25">
      <c r="B116" s="79" t="s">
        <v>1</v>
      </c>
      <c r="C116" s="88" t="s">
        <v>20</v>
      </c>
      <c r="D116" s="88"/>
      <c r="E116" s="154">
        <f t="shared" ref="E116:E121" si="92">E115+1</f>
        <v>43908</v>
      </c>
      <c r="F116" s="159" t="s">
        <v>20</v>
      </c>
      <c r="G116" s="155">
        <f t="shared" si="88"/>
        <v>43908.375</v>
      </c>
      <c r="H116" s="29">
        <v>0.375</v>
      </c>
      <c r="I116" s="23">
        <f t="shared" ref="I116:I121" si="93">SUM(V116+AA116+AC116)</f>
        <v>4.5833333333333282E-2</v>
      </c>
      <c r="J116" s="29">
        <v>7.6388888888888886E-3</v>
      </c>
      <c r="K116" s="46">
        <f t="shared" si="89"/>
        <v>43909.007638888892</v>
      </c>
      <c r="L116" s="21">
        <f>IF(OR(F116="télétravail",F116="férié travaillé",F116="travail"),(J116-H116+IF(H116&gt;J116,1)-I116),INDEX(ref!$E$22:'ref'!$E$37,MATCH(F116,gerald3,0)))</f>
        <v>0.58680555555555558</v>
      </c>
      <c r="M116" s="13">
        <f>IF(SUM(L116-ref!E$8)&lt;0,0,SUM(L116-ref!E$8))</f>
        <v>0.1701388888888889</v>
      </c>
      <c r="N116" s="252">
        <f>L116-(hs!D115+hs!F115+hs!H115+hs!J115)</f>
        <v>1.2326388888888888</v>
      </c>
      <c r="O116" s="8">
        <f>IF(OR(F116="férié travaillé",F116="travail",F116="asa",F116="rtt"),J116-H116+IF(H116&gt;J116,1),INDEX(ref!$E$22:'ref'!$E$37,MATCH(F116,gerald2,0)))</f>
        <v>0.63263888888888886</v>
      </c>
      <c r="P116" s="14">
        <f>IF(SUM(O116-ref!E$4)&lt;0,0,SUM(O116-ref!E$4))</f>
        <v>0.13263888888888886</v>
      </c>
      <c r="Q116" s="24">
        <f t="shared" ref="Q116:Q121" si="94">Q115+L116</f>
        <v>0.88611111111111107</v>
      </c>
      <c r="S116" s="137"/>
      <c r="T116" s="92">
        <v>0.50277777777777777</v>
      </c>
      <c r="U116" s="129">
        <v>0.54861111111111105</v>
      </c>
      <c r="V116" s="142">
        <f t="shared" si="90"/>
        <v>4.5833333333333282E-2</v>
      </c>
      <c r="W116" s="141">
        <f>IF(V116="","",IF(SUM(V116-ref!E$38)&gt;0,0,IF(V116=0, "0:00", SUM(V116-ref!E$38))))</f>
        <v>0</v>
      </c>
      <c r="X116" s="137"/>
      <c r="Y116" s="92"/>
      <c r="Z116" s="247"/>
      <c r="AA116" s="142">
        <f t="shared" ref="AA116:AA121" si="95">Z116-Y116</f>
        <v>0</v>
      </c>
      <c r="AB116" s="245" t="str">
        <f>IF(AA116="","",IF(SUM(AA116-ref!E$38)&gt;0,0,IF(AA116=0, "0:00", SUM(AA116-ref!E$38))))</f>
        <v>0:00</v>
      </c>
      <c r="AC116" s="29"/>
      <c r="AD116" s="106"/>
      <c r="AE116" s="112">
        <f>IF(SUM(AE115-ref!E$7)&lt;0,0,SUM(AE115-ref!E$7))</f>
        <v>0</v>
      </c>
      <c r="AF116" s="77">
        <f t="shared" si="91"/>
        <v>1</v>
      </c>
      <c r="AG116" s="19"/>
      <c r="AH116" s="178" t="s">
        <v>72</v>
      </c>
      <c r="AI116" s="54" t="s">
        <v>68</v>
      </c>
      <c r="AJ116" s="177" t="s">
        <v>73</v>
      </c>
      <c r="AK116" s="55" cm="1">
        <f t="array" ref="AK116">IF(ISNUMBER(G117),G117-_xlfn.AGGREGATE(14,6,(K$4:K116&lt;G117)*K$4:K116,1),"")</f>
        <v>0.47986111111094942</v>
      </c>
      <c r="AL116" s="20">
        <f>IF(ISNUMBER(AK116),ABS(IF(SUM(AK116-ref!E$9)&gt;0,0,SUM(AK116-ref!E$9))),"")</f>
        <v>0</v>
      </c>
      <c r="AQ116"/>
    </row>
    <row r="117" spans="2:43" x14ac:dyDescent="0.25">
      <c r="B117" s="80">
        <v>18</v>
      </c>
      <c r="C117" s="88" t="s">
        <v>20</v>
      </c>
      <c r="D117" s="88"/>
      <c r="E117" s="154">
        <f t="shared" si="92"/>
        <v>43909</v>
      </c>
      <c r="F117" s="159" t="s">
        <v>20</v>
      </c>
      <c r="G117" s="155">
        <f t="shared" si="88"/>
        <v>43909.487500000003</v>
      </c>
      <c r="H117" s="29">
        <v>0.48749999999999999</v>
      </c>
      <c r="I117" s="23">
        <f t="shared" si="93"/>
        <v>3.2638888888888884E-2</v>
      </c>
      <c r="J117" s="29">
        <v>0.76736111111111116</v>
      </c>
      <c r="K117" s="46">
        <f t="shared" si="89"/>
        <v>43909.767361111109</v>
      </c>
      <c r="L117" s="21">
        <f>IF(OR(F117="télétravail",F117="férié travaillé",F117="travail"),(J117-H117+IF(H117&gt;J117,1)-I117),INDEX(ref!$E$22:'ref'!$E$37,MATCH(F117,gerald3,0)))</f>
        <v>0.24722222222222229</v>
      </c>
      <c r="M117" s="13">
        <f>IF(SUM(L117-ref!E$8)&lt;0,0,SUM(L117-ref!E$8))</f>
        <v>0</v>
      </c>
      <c r="N117" s="252">
        <f>L117-(hs!D116+hs!F116+hs!H116+hs!J116)</f>
        <v>-3.2638888888888884E-2</v>
      </c>
      <c r="O117" s="8">
        <f>IF(OR(F117="férié travaillé",F117="travail",F117="asa",F117="rtt"),J117-H117+IF(H117&gt;J117,1),INDEX(ref!$E$22:'ref'!$E$37,MATCH(F117,gerald2,0)))</f>
        <v>0.27986111111111117</v>
      </c>
      <c r="P117" s="14">
        <f>IF(SUM(O117-ref!E$4)&lt;0,0,SUM(O117-ref!E$4))</f>
        <v>0</v>
      </c>
      <c r="Q117" s="24">
        <f t="shared" si="94"/>
        <v>1.1333333333333333</v>
      </c>
      <c r="S117" s="137"/>
      <c r="T117" s="92">
        <v>0.54375000000000007</v>
      </c>
      <c r="U117" s="129">
        <v>0.57638888888888895</v>
      </c>
      <c r="V117" s="142">
        <f t="shared" si="90"/>
        <v>3.2638888888888884E-2</v>
      </c>
      <c r="W117" s="141">
        <f>IF(V117="","",IF(SUM(V117-ref!E$38)&gt;0,0,IF(V117=0, "0:00", SUM(V117-ref!E$38))))</f>
        <v>0</v>
      </c>
      <c r="X117" s="137"/>
      <c r="Y117" s="92"/>
      <c r="Z117" s="247"/>
      <c r="AA117" s="142">
        <f t="shared" si="95"/>
        <v>0</v>
      </c>
      <c r="AB117" s="245" t="str">
        <f>IF(AA117="","",IF(SUM(AA117-ref!E$38)&gt;0,0,IF(AA117=0, "0:00", SUM(AA117-ref!E$38))))</f>
        <v>0:00</v>
      </c>
      <c r="AC117" s="29"/>
      <c r="AD117" s="106"/>
      <c r="AE117" s="113" t="s">
        <v>29</v>
      </c>
      <c r="AF117" s="77">
        <f t="shared" si="91"/>
        <v>1</v>
      </c>
      <c r="AG117" s="19"/>
      <c r="AH117" s="178" t="s">
        <v>73</v>
      </c>
      <c r="AI117" s="54" t="s">
        <v>68</v>
      </c>
      <c r="AJ117" s="177" t="s">
        <v>74</v>
      </c>
      <c r="AK117" s="55" cm="1">
        <f t="array" ref="AK117">IF(ISNUMBER(G118),G118-_xlfn.AGGREGATE(14,6,(K$4:K117&lt;G118)*K$4:K117,1),"")</f>
        <v>0.60694444444379769</v>
      </c>
      <c r="AL117" s="20">
        <f>IF(ISNUMBER(AK117),ABS(IF(SUM(AK117-ref!E$9)&gt;0,0,SUM(AK117-ref!E$9))),"")</f>
        <v>0</v>
      </c>
      <c r="AQ117"/>
    </row>
    <row r="118" spans="2:43" x14ac:dyDescent="0.25">
      <c r="B118" s="79" t="s">
        <v>58</v>
      </c>
      <c r="C118" s="88" t="s">
        <v>20</v>
      </c>
      <c r="D118" s="88"/>
      <c r="E118" s="154">
        <f t="shared" si="92"/>
        <v>43910</v>
      </c>
      <c r="F118" s="159" t="s">
        <v>20</v>
      </c>
      <c r="G118" s="155">
        <f t="shared" si="88"/>
        <v>43910.374305555553</v>
      </c>
      <c r="H118" s="29">
        <v>0.3743055555555555</v>
      </c>
      <c r="I118" s="23">
        <f t="shared" si="93"/>
        <v>4.0972222222222299E-2</v>
      </c>
      <c r="J118" s="29">
        <v>0.75</v>
      </c>
      <c r="K118" s="46">
        <f t="shared" si="89"/>
        <v>43910.75</v>
      </c>
      <c r="L118" s="21">
        <f>IF(OR(F118="télétravail",F118="férié travaillé",F118="travail"),(J118-H118+IF(H118&gt;J118,1)-I118),INDEX(ref!$E$22:'ref'!$E$37,MATCH(F118,gerald3,0)))</f>
        <v>0.3347222222222222</v>
      </c>
      <c r="M118" s="13">
        <f>IF(SUM(L118-ref!E$8)&lt;0,0,SUM(L118-ref!E$8))</f>
        <v>0</v>
      </c>
      <c r="N118" s="252">
        <f>L118-(hs!D117+hs!F117+hs!H117+hs!J117)</f>
        <v>-4.0972222222222299E-2</v>
      </c>
      <c r="O118" s="8">
        <f>IF(OR(F118="férié travaillé",F118="travail",F118="asa",F118="rtt"),J118-H118+IF(H118&gt;J118,1),INDEX(ref!$E$22:'ref'!$E$37,MATCH(F118,gerald2,0)))</f>
        <v>0.3756944444444445</v>
      </c>
      <c r="P118" s="14">
        <f>IF(SUM(O118-ref!E$4)&lt;0,0,SUM(O118-ref!E$4))</f>
        <v>0</v>
      </c>
      <c r="Q118" s="24">
        <f t="shared" si="94"/>
        <v>1.4680555555555554</v>
      </c>
      <c r="S118" s="137"/>
      <c r="T118" s="92">
        <v>0.51458333333333328</v>
      </c>
      <c r="U118" s="129">
        <v>0.55555555555555558</v>
      </c>
      <c r="V118" s="142">
        <f t="shared" si="90"/>
        <v>4.0972222222222299E-2</v>
      </c>
      <c r="W118" s="141">
        <f>IF(V118="","",IF(SUM(V118-ref!E$38)&gt;0,0,IF(V118=0, "0:00", SUM(V118-ref!E$38))))</f>
        <v>0</v>
      </c>
      <c r="X118" s="137"/>
      <c r="Y118" s="92"/>
      <c r="Z118" s="247"/>
      <c r="AA118" s="142">
        <f t="shared" si="95"/>
        <v>0</v>
      </c>
      <c r="AB118" s="245" t="str">
        <f>IF(AA118="","",IF(SUM(AA118-ref!E$38)&gt;0,0,IF(AA118=0, "0:00", SUM(AA118-ref!E$38))))</f>
        <v>0:00</v>
      </c>
      <c r="AC118" s="29"/>
      <c r="AD118" s="106"/>
      <c r="AE118" s="114">
        <f>Q121</f>
        <v>1.8187499999999999</v>
      </c>
      <c r="AF118" s="77">
        <f t="shared" si="91"/>
        <v>1</v>
      </c>
      <c r="AG118" s="19"/>
      <c r="AH118" s="178" t="s">
        <v>74</v>
      </c>
      <c r="AI118" s="54" t="s">
        <v>68</v>
      </c>
      <c r="AJ118" s="177" t="s">
        <v>75</v>
      </c>
      <c r="AK118" s="55" cm="1">
        <f t="array" ref="AK118">IF(ISNUMBER(G119),G119-_xlfn.AGGREGATE(14,6,(K$4:K118&lt;G119)*K$4:K118,1),"")</f>
        <v>0.62222222222044365</v>
      </c>
      <c r="AL118" s="20">
        <f>IF(ISNUMBER(AK118),ABS(IF(SUM(AK118-ref!E$9)&gt;0,0,SUM(AK118-ref!E$9))),"")</f>
        <v>0</v>
      </c>
      <c r="AQ118"/>
    </row>
    <row r="119" spans="2:43" x14ac:dyDescent="0.25">
      <c r="B119" s="81">
        <v>3</v>
      </c>
      <c r="C119" s="88" t="s">
        <v>20</v>
      </c>
      <c r="D119" s="88"/>
      <c r="E119" s="154">
        <f t="shared" si="92"/>
        <v>43911</v>
      </c>
      <c r="F119" s="159" t="s">
        <v>20</v>
      </c>
      <c r="G119" s="155">
        <f t="shared" si="88"/>
        <v>43911.37222222222</v>
      </c>
      <c r="H119" s="29">
        <v>0.37222222222222223</v>
      </c>
      <c r="I119" s="23">
        <f t="shared" si="93"/>
        <v>1.8750000000000044E-2</v>
      </c>
      <c r="J119" s="29">
        <v>0.7416666666666667</v>
      </c>
      <c r="K119" s="46">
        <f t="shared" si="89"/>
        <v>43911.741666666669</v>
      </c>
      <c r="L119" s="21">
        <f>IF(OR(F119="télétravail",F119="férié travaillé",F119="travail"),(J119-H119+IF(H119&gt;J119,1)-I119),INDEX(ref!$E$22:'ref'!$E$37,MATCH(F119,gerald3,0)))</f>
        <v>0.35069444444444442</v>
      </c>
      <c r="M119" s="13">
        <f>IF(SUM(L119-ref!E$8)&lt;0,0,SUM(L119-ref!E$8))</f>
        <v>0</v>
      </c>
      <c r="N119" s="252">
        <f>L119-(hs!D118+hs!F118+hs!H118+hs!J118)</f>
        <v>-1.8750000000000044E-2</v>
      </c>
      <c r="O119" s="8">
        <f>IF(OR(F119="férié travaillé",F119="travail",F119="asa",F119="rtt"),J119-H119+IF(H119&gt;J119,1),INDEX(ref!$E$22:'ref'!$E$37,MATCH(F119,gerald2,0)))</f>
        <v>0.36944444444444446</v>
      </c>
      <c r="P119" s="14">
        <f>IF(SUM(O119-ref!E$4)&lt;0,0,SUM(O119-ref!E$4))</f>
        <v>0</v>
      </c>
      <c r="Q119" s="24">
        <f t="shared" si="94"/>
        <v>1.8187499999999999</v>
      </c>
      <c r="S119" s="137"/>
      <c r="T119" s="92">
        <v>0.56458333333333333</v>
      </c>
      <c r="U119" s="129">
        <v>0.58333333333333337</v>
      </c>
      <c r="V119" s="142">
        <f t="shared" si="90"/>
        <v>1.8750000000000044E-2</v>
      </c>
      <c r="W119" s="141">
        <f>IF(V119="","",IF(SUM(V119-ref!E$38)&gt;0,0,IF(V119=0, "0:00", SUM(V119-ref!E$38))))</f>
        <v>-1.2499999999999956E-2</v>
      </c>
      <c r="X119" s="137"/>
      <c r="Y119" s="92"/>
      <c r="Z119" s="247"/>
      <c r="AA119" s="142">
        <f t="shared" si="95"/>
        <v>0</v>
      </c>
      <c r="AB119" s="245" t="str">
        <f>IF(AA119="","",IF(SUM(AA119-ref!E$38)&gt;0,0,IF(AA119=0, "0:00", SUM(AA119-ref!E$38))))</f>
        <v>0:00</v>
      </c>
      <c r="AC119" s="29"/>
      <c r="AD119" s="106"/>
      <c r="AE119" s="117" t="s">
        <v>47</v>
      </c>
      <c r="AF119" s="77">
        <f t="shared" si="91"/>
        <v>1</v>
      </c>
      <c r="AG119" s="19"/>
      <c r="AH119" s="178" t="s">
        <v>75</v>
      </c>
      <c r="AI119" s="54" t="s">
        <v>68</v>
      </c>
      <c r="AJ119" s="177" t="s">
        <v>76</v>
      </c>
      <c r="AK119" s="55" t="str" cm="1">
        <f t="array" ref="AK119">IF(ISNUMBER(G120),G120-_xlfn.AGGREGATE(14,6,(K$4:K119&lt;G120)*K$4:K119,1),"")</f>
        <v/>
      </c>
      <c r="AL119" s="20" t="str">
        <f>IF(ISNUMBER(AK119),ABS(IF(SUM(AK119-ref!E$9)&gt;0,0,SUM(AK119-ref!E$9))),"")</f>
        <v/>
      </c>
      <c r="AQ119"/>
    </row>
    <row r="120" spans="2:43" ht="15.75" thickBot="1" x14ac:dyDescent="0.3">
      <c r="B120"/>
      <c r="C120" s="89"/>
      <c r="D120" s="89"/>
      <c r="E120" s="154">
        <f t="shared" si="92"/>
        <v>43912</v>
      </c>
      <c r="F120" s="159" t="s">
        <v>19</v>
      </c>
      <c r="G120" s="155" t="str">
        <f t="shared" si="88"/>
        <v/>
      </c>
      <c r="H120" s="29"/>
      <c r="I120" s="23">
        <f t="shared" si="93"/>
        <v>0</v>
      </c>
      <c r="J120" s="29"/>
      <c r="K120" s="46" t="str">
        <f t="shared" si="89"/>
        <v/>
      </c>
      <c r="L120" s="21">
        <f>IF(OR(F120="télétravail",F120="férié travaillé",F120="travail"),(J120-H120+IF(H120&gt;J120,1)-I120),INDEX(ref!$E$22:'ref'!$E$37,MATCH(F120,gerald3,0)))</f>
        <v>0</v>
      </c>
      <c r="M120" s="13">
        <f>IF(SUM(L120-ref!E$8)&lt;0,0,SUM(L120-ref!E$8))</f>
        <v>0</v>
      </c>
      <c r="N120" s="252">
        <f>L120-(hs!D119+hs!F119+hs!H119+hs!J119)</f>
        <v>0</v>
      </c>
      <c r="O120" s="8">
        <f>IF(OR(F120="férié travaillé",F120="travail",F120="asa",F120="rtt"),J120-H120+IF(H120&gt;J120,1),INDEX(ref!$E$22:'ref'!$E$37,MATCH(F120,gerald2,0)))</f>
        <v>0</v>
      </c>
      <c r="P120" s="14">
        <f>IF(SUM(O120-ref!E$4)&lt;0,0,SUM(O120-ref!E$4))</f>
        <v>0</v>
      </c>
      <c r="Q120" s="97">
        <f t="shared" si="94"/>
        <v>1.8187499999999999</v>
      </c>
      <c r="S120" s="137"/>
      <c r="T120" s="92"/>
      <c r="U120" s="129"/>
      <c r="V120" s="142">
        <f t="shared" si="90"/>
        <v>0</v>
      </c>
      <c r="W120" s="141" t="str">
        <f>IF(V120="","",IF(SUM(V120-ref!E$38)&gt;0,0,IF(V120=0, "0:00", SUM(V120-ref!E$38))))</f>
        <v>0:00</v>
      </c>
      <c r="X120" s="137"/>
      <c r="Y120" s="92"/>
      <c r="Z120" s="247"/>
      <c r="AA120" s="142">
        <f t="shared" si="95"/>
        <v>0</v>
      </c>
      <c r="AB120" s="245" t="str">
        <f>IF(AA120="","",IF(SUM(AA120-ref!E$38)&gt;0,0,IF(AA120=0, "0:00", SUM(AA120-ref!E$38))))</f>
        <v>0:00</v>
      </c>
      <c r="AC120" s="29"/>
      <c r="AD120" s="106"/>
      <c r="AE120" s="118">
        <f>ref!E$11</f>
        <v>2</v>
      </c>
      <c r="AF120" s="77">
        <f t="shared" si="91"/>
        <v>0</v>
      </c>
      <c r="AG120" s="19"/>
      <c r="AH120" s="178" t="s">
        <v>76</v>
      </c>
      <c r="AI120" s="54" t="s">
        <v>68</v>
      </c>
      <c r="AJ120" s="177" t="s">
        <v>77</v>
      </c>
      <c r="AK120" s="55" t="str" cm="1">
        <f t="array" ref="AK120">IF(ISNUMBER(G121),G121-_xlfn.AGGREGATE(14,6,(K$4:K120&lt;G121)*K$4:K120,1),"")</f>
        <v/>
      </c>
      <c r="AL120" s="20" t="str">
        <f>IF(ISNUMBER(AK120),ABS(IF(SUM(AK120-ref!E$9)&gt;0,0,SUM(AK120-ref!E$9))),"")</f>
        <v/>
      </c>
      <c r="AQ120"/>
    </row>
    <row r="121" spans="2:43" ht="15.75" thickBot="1" x14ac:dyDescent="0.3">
      <c r="B121"/>
      <c r="C121" s="89"/>
      <c r="D121" s="89"/>
      <c r="E121" s="154">
        <f t="shared" si="92"/>
        <v>43913</v>
      </c>
      <c r="F121" s="160" t="s">
        <v>19</v>
      </c>
      <c r="G121" s="155" t="str">
        <f t="shared" si="88"/>
        <v/>
      </c>
      <c r="H121" s="29"/>
      <c r="I121" s="23">
        <f t="shared" si="93"/>
        <v>0</v>
      </c>
      <c r="J121" s="29"/>
      <c r="K121" s="46" t="str">
        <f t="shared" si="89"/>
        <v/>
      </c>
      <c r="L121" s="21">
        <f>IF(OR(F121="télétravail",F121="férié travaillé",F121="travail"),(J121-H121+IF(H121&gt;J121,1)-I121),INDEX(ref!$E$22:'ref'!$E$37,MATCH(F121,gerald3,0)))</f>
        <v>0</v>
      </c>
      <c r="M121" s="13">
        <f>IF(SUM(L121-ref!E$8)&lt;0,0,SUM(L121-ref!E$8))</f>
        <v>0</v>
      </c>
      <c r="N121" s="252">
        <f>L121-(hs!D120+hs!F120+hs!H120+hs!J120)</f>
        <v>0</v>
      </c>
      <c r="O121" s="8">
        <f>IF(OR(F121="férié travaillé",F121="travail",F121="asa",F121="rtt"),J121-H121+IF(H121&gt;J121,1),INDEX(ref!$E$22:'ref'!$E$37,MATCH(F121,gerald2,0)))</f>
        <v>0</v>
      </c>
      <c r="P121" s="14">
        <f>IF(SUM(O121-ref!E$4)&lt;0,0,SUM(O121-ref!E$4))</f>
        <v>0</v>
      </c>
      <c r="Q121" s="94">
        <f t="shared" si="94"/>
        <v>1.8187499999999999</v>
      </c>
      <c r="S121" s="138"/>
      <c r="T121" s="92"/>
      <c r="U121" s="129"/>
      <c r="V121" s="142">
        <f t="shared" si="90"/>
        <v>0</v>
      </c>
      <c r="W121" s="141" t="str">
        <f>IF(V121="","",IF(SUM(V121-ref!E$38)&gt;0,0,IF(V121=0, "0:00", SUM(V121-ref!E$38))))</f>
        <v>0:00</v>
      </c>
      <c r="X121" s="138"/>
      <c r="Y121" s="92"/>
      <c r="Z121" s="247"/>
      <c r="AA121" s="142">
        <f t="shared" si="95"/>
        <v>0</v>
      </c>
      <c r="AB121" s="246" t="str">
        <f>IF(AA121="","",IF(SUM(AA121-ref!E$38)&gt;0,0,IF(AA121=0, "0:00", SUM(AA121-ref!E$38))))</f>
        <v>0:00</v>
      </c>
      <c r="AC121" s="29"/>
      <c r="AD121" s="106"/>
      <c r="AE121" s="110">
        <f>IF(SUM(Q121-ref!E$11)&lt;0,0,SUM(Q121-ref!E$11))</f>
        <v>0</v>
      </c>
      <c r="AF121" s="77">
        <f t="shared" si="91"/>
        <v>0</v>
      </c>
      <c r="AG121" s="19"/>
      <c r="AQ121"/>
    </row>
    <row r="122" spans="2:43" x14ac:dyDescent="0.25">
      <c r="C122" s="89"/>
      <c r="D122" s="89"/>
      <c r="F122" s="157"/>
      <c r="W122" s="74"/>
      <c r="X122" s="2"/>
      <c r="Z122"/>
      <c r="AA122" s="2"/>
      <c r="AB122" s="2"/>
      <c r="AC122" s="127"/>
      <c r="AQ122"/>
    </row>
    <row r="123" spans="2:43" x14ac:dyDescent="0.25">
      <c r="C123" s="89"/>
      <c r="D123" s="89"/>
      <c r="F123" s="157"/>
      <c r="X123" s="2"/>
      <c r="Z123"/>
      <c r="AA123" s="2"/>
      <c r="AB123" s="2"/>
      <c r="AC123" s="127"/>
      <c r="AQ123"/>
    </row>
    <row r="124" spans="2:43" ht="15.75" thickBot="1" x14ac:dyDescent="0.3">
      <c r="C124" s="89"/>
      <c r="D124" s="89"/>
      <c r="F124" s="157"/>
      <c r="W124" s="74"/>
      <c r="X124" s="2"/>
      <c r="Z124"/>
      <c r="AA124" s="2"/>
      <c r="AB124" s="2"/>
      <c r="AC124" s="127"/>
      <c r="AQ124"/>
    </row>
    <row r="125" spans="2:43" x14ac:dyDescent="0.25">
      <c r="B125" s="78" t="s">
        <v>1</v>
      </c>
      <c r="C125" s="88" t="s">
        <v>20</v>
      </c>
      <c r="D125" s="88"/>
      <c r="E125" s="154">
        <f>DATE(ref!E$2,B129,B127)</f>
        <v>43914</v>
      </c>
      <c r="F125" s="158" t="s">
        <v>20</v>
      </c>
      <c r="G125" s="155">
        <f t="shared" ref="G125:G131" si="96">IF(AND(J125="",H125=""),"",E125+H125)</f>
        <v>43914.375</v>
      </c>
      <c r="H125" s="29">
        <v>0.375</v>
      </c>
      <c r="I125" s="23">
        <f>SUM(V125+AA125+AC125)</f>
        <v>1.3888888888888951E-2</v>
      </c>
      <c r="J125" s="29">
        <v>0.88541666666666663</v>
      </c>
      <c r="K125" s="46">
        <f t="shared" ref="K125:K131" si="97">IF(AND(H125="",J125=""),"",E125+J125+(H125&gt;J125))</f>
        <v>43914.885416666664</v>
      </c>
      <c r="L125" s="21">
        <f>IF(OR(F125="télétravail",F125="férié travaillé",F125="travail"),(J125-H125+IF(H125&gt;J125,1)-I125),INDEX(ref!$E$22:'ref'!$E$37,MATCH(F125,gerald3,0)))</f>
        <v>0.49652777777777768</v>
      </c>
      <c r="M125" s="13">
        <f>IF(SUM(L125-ref!E$8)&lt;0,0,SUM(L125-ref!E$8))</f>
        <v>7.9861111111110994E-2</v>
      </c>
      <c r="N125" s="252">
        <f>L125-(hs!D124+hs!F124+hs!H124+hs!J124)</f>
        <v>-0.12847222222222221</v>
      </c>
      <c r="O125" s="8">
        <f>IF(OR(F125="férié travaillé",F125="travail",F125="asa",F125="rtt"),J125-H125+IF(H125&gt;J125,1),INDEX(ref!$E$22:'ref'!$E$37,MATCH(F125,gerald2,0)))</f>
        <v>0.51041666666666663</v>
      </c>
      <c r="P125" s="14">
        <f>IF(SUM(O125-ref!E$4)&lt;0,0,SUM(O125-ref!E$4))</f>
        <v>1.041666666666663E-2</v>
      </c>
      <c r="Q125" s="21">
        <f>L125</f>
        <v>0.49652777777777768</v>
      </c>
      <c r="S125" s="136"/>
      <c r="T125" s="92">
        <v>0.54166666666666663</v>
      </c>
      <c r="U125" s="129">
        <v>0.55555555555555558</v>
      </c>
      <c r="V125" s="142">
        <f t="shared" ref="V125:V131" si="98">U125-T125</f>
        <v>1.3888888888888951E-2</v>
      </c>
      <c r="W125" s="141">
        <f>IF(V125="","",IF(SUM(V125-ref!E$38)&gt;0,0,IF(V125=0, "0:00", SUM(V125-ref!E$38))))</f>
        <v>-1.7361111111111049E-2</v>
      </c>
      <c r="X125" s="136"/>
      <c r="Y125" s="92"/>
      <c r="Z125" s="247"/>
      <c r="AA125" s="142">
        <f>Z125-Y125</f>
        <v>0</v>
      </c>
      <c r="AB125" s="244" t="str">
        <f>IF(AA125="","",IF(SUM(AA125-ref!E$38)&gt;0,0,IF(AA125=0, "0:00", SUM(AA125-ref!E$38))))</f>
        <v>0:00</v>
      </c>
      <c r="AC125" s="29"/>
      <c r="AD125" s="106"/>
      <c r="AE125" s="111">
        <f>SUM(AF125:AF131)</f>
        <v>5</v>
      </c>
      <c r="AF125" s="77">
        <f t="shared" ref="AF125:AF131" si="99">IF(AND(H125&lt;&gt;"",J125&lt;&gt;""),1,0+OR(N(J124)&lt;N(H124),F125="récupération",F125="congé 1 jour",F125="congé 1/2 jour ",F125="congé 5h24",F125="arrêt maladie",F125="arrêt travail",F125="férié ",F125="congé parentale",F125="congé de naissance"))</f>
        <v>1</v>
      </c>
      <c r="AG125" s="19"/>
      <c r="AH125" s="176" t="s">
        <v>71</v>
      </c>
      <c r="AI125" s="54" t="s">
        <v>68</v>
      </c>
      <c r="AJ125" s="177" t="s">
        <v>72</v>
      </c>
      <c r="AK125" s="55" cm="1">
        <f t="array" ref="AK125">IF(ISNUMBER(G126),G126-_xlfn.AGGREGATE(14,6,(K$4:K125&lt;G126)*K$4:K125,1),"")</f>
        <v>0.49027777778246673</v>
      </c>
      <c r="AL125" s="20">
        <f>IF(ISNUMBER(AK125),ABS(IF(SUM(AK125-ref!E$9)&gt;0,0,SUM(AK125-ref!E$9))),"")</f>
        <v>0</v>
      </c>
      <c r="AQ125"/>
    </row>
    <row r="126" spans="2:43" x14ac:dyDescent="0.25">
      <c r="B126" s="79" t="s">
        <v>1</v>
      </c>
      <c r="C126" s="88" t="s">
        <v>20</v>
      </c>
      <c r="D126" s="88"/>
      <c r="E126" s="154">
        <f t="shared" ref="E126:E131" si="100">E125+1</f>
        <v>43915</v>
      </c>
      <c r="F126" s="159" t="s">
        <v>20</v>
      </c>
      <c r="G126" s="155">
        <f t="shared" si="96"/>
        <v>43915.375694444447</v>
      </c>
      <c r="H126" s="29">
        <v>0.3756944444444445</v>
      </c>
      <c r="I126" s="23">
        <f t="shared" ref="I126:I131" si="101">SUM(V126+AA126+AC126)</f>
        <v>3.6111111111111205E-2</v>
      </c>
      <c r="J126" s="29">
        <v>0.8979166666666667</v>
      </c>
      <c r="K126" s="46">
        <f t="shared" si="97"/>
        <v>43915.897916666669</v>
      </c>
      <c r="L126" s="21">
        <f>IF(OR(F126="télétravail",F126="férié travaillé",F126="travail"),(J126-H126+IF(H126&gt;J126,1)-I126),INDEX(ref!$E$22:'ref'!$E$37,MATCH(F126,gerald3,0)))</f>
        <v>0.48611111111111094</v>
      </c>
      <c r="M126" s="13">
        <f>IF(SUM(L126-ref!E$8)&lt;0,0,SUM(L126-ref!E$8))</f>
        <v>6.9444444444444253E-2</v>
      </c>
      <c r="N126" s="252">
        <f>L126-(hs!D125+hs!F125+hs!H125+hs!J125)</f>
        <v>-0.16319444444444453</v>
      </c>
      <c r="O126" s="8">
        <f>IF(OR(F126="férié travaillé",F126="travail",F126="asa",F126="rtt"),J126-H126+IF(H126&gt;J126,1),INDEX(ref!$E$22:'ref'!$E$37,MATCH(F126,gerald2,0)))</f>
        <v>0.52222222222222214</v>
      </c>
      <c r="P126" s="14">
        <f>IF(SUM(O126-ref!E$4)&lt;0,0,SUM(O126-ref!E$4))</f>
        <v>2.2222222222222143E-2</v>
      </c>
      <c r="Q126" s="24">
        <f t="shared" ref="Q126:Q131" si="102">Q125+L126</f>
        <v>0.98263888888888862</v>
      </c>
      <c r="S126" s="137"/>
      <c r="T126" s="92">
        <v>0.50902777777777775</v>
      </c>
      <c r="U126" s="129">
        <v>0.54513888888888895</v>
      </c>
      <c r="V126" s="142">
        <f t="shared" si="98"/>
        <v>3.6111111111111205E-2</v>
      </c>
      <c r="W126" s="141">
        <f>IF(V126="","",IF(SUM(V126-ref!E$38)&gt;0,0,IF(V126=0, "0:00", SUM(V126-ref!E$38))))</f>
        <v>0</v>
      </c>
      <c r="X126" s="137"/>
      <c r="Y126" s="92"/>
      <c r="Z126" s="247"/>
      <c r="AA126" s="142">
        <f t="shared" ref="AA126:AA131" si="103">Z126-Y126</f>
        <v>0</v>
      </c>
      <c r="AB126" s="245" t="str">
        <f>IF(AA126="","",IF(SUM(AA126-ref!E$38)&gt;0,0,IF(AA126=0, "0:00", SUM(AA126-ref!E$38))))</f>
        <v>0:00</v>
      </c>
      <c r="AC126" s="29"/>
      <c r="AD126" s="106"/>
      <c r="AE126" s="112">
        <f>IF(SUM(AE125-ref!E$7)&lt;0,0,SUM(AE125-ref!E$7))</f>
        <v>0</v>
      </c>
      <c r="AF126" s="77">
        <f t="shared" si="99"/>
        <v>1</v>
      </c>
      <c r="AG126" s="19"/>
      <c r="AH126" s="178" t="s">
        <v>72</v>
      </c>
      <c r="AI126" s="54" t="s">
        <v>68</v>
      </c>
      <c r="AJ126" s="177" t="s">
        <v>73</v>
      </c>
      <c r="AK126" s="55" cm="1">
        <f t="array" ref="AK126">IF(ISNUMBER(G127),G127-_xlfn.AGGREGATE(14,6,(K$4:K126&lt;G127)*K$4:K126,1),"")</f>
        <v>0.52847222222044365</v>
      </c>
      <c r="AL126" s="20">
        <f>IF(ISNUMBER(AK126),ABS(IF(SUM(AK126-ref!E$9)&gt;0,0,SUM(AK126-ref!E$9))),"")</f>
        <v>0</v>
      </c>
      <c r="AQ126"/>
    </row>
    <row r="127" spans="2:43" x14ac:dyDescent="0.25">
      <c r="B127" s="80">
        <v>25</v>
      </c>
      <c r="C127" s="88" t="s">
        <v>20</v>
      </c>
      <c r="D127" s="88"/>
      <c r="E127" s="154">
        <f t="shared" si="100"/>
        <v>43916</v>
      </c>
      <c r="F127" s="159" t="s">
        <v>20</v>
      </c>
      <c r="G127" s="155">
        <f t="shared" si="96"/>
        <v>43916.426388888889</v>
      </c>
      <c r="H127" s="29">
        <v>0.42638888888888887</v>
      </c>
      <c r="I127" s="23">
        <f t="shared" si="101"/>
        <v>3.125E-2</v>
      </c>
      <c r="J127" s="29">
        <v>0.98472222222222217</v>
      </c>
      <c r="K127" s="46">
        <f t="shared" si="97"/>
        <v>43916.984722222223</v>
      </c>
      <c r="L127" s="21">
        <f>IF(OR(F127="télétravail",F127="férié travaillé",F127="travail"),(J127-H127+IF(H127&gt;J127,1)-I127),INDEX(ref!$E$22:'ref'!$E$37,MATCH(F127,gerald3,0)))</f>
        <v>0.52708333333333335</v>
      </c>
      <c r="M127" s="13">
        <f>IF(SUM(L127-ref!E$8)&lt;0,0,SUM(L127-ref!E$8))</f>
        <v>0.11041666666666666</v>
      </c>
      <c r="N127" s="252">
        <f>L127-(hs!D126+hs!F126+hs!H126+hs!J126)</f>
        <v>-0.2451388888888888</v>
      </c>
      <c r="O127" s="8">
        <f>IF(OR(F127="férié travaillé",F127="travail",F127="asa",F127="rtt"),J127-H127+IF(H127&gt;J127,1),INDEX(ref!$E$22:'ref'!$E$37,MATCH(F127,gerald2,0)))</f>
        <v>0.55833333333333335</v>
      </c>
      <c r="P127" s="14">
        <f>IF(SUM(O127-ref!E$4)&lt;0,0,SUM(O127-ref!E$4))</f>
        <v>5.8333333333333348E-2</v>
      </c>
      <c r="Q127" s="24">
        <f t="shared" si="102"/>
        <v>1.509722222222222</v>
      </c>
      <c r="S127" s="137"/>
      <c r="T127" s="92">
        <v>0.54166666666666663</v>
      </c>
      <c r="U127" s="129">
        <v>0.57291666666666663</v>
      </c>
      <c r="V127" s="142">
        <f t="shared" si="98"/>
        <v>3.125E-2</v>
      </c>
      <c r="W127" s="141">
        <f>IF(V127="","",IF(SUM(V127-ref!E$38)&gt;0,0,IF(V127=0, "0:00", SUM(V127-ref!E$38))))</f>
        <v>0</v>
      </c>
      <c r="X127" s="137"/>
      <c r="Y127" s="92"/>
      <c r="Z127" s="247"/>
      <c r="AA127" s="142">
        <f t="shared" si="103"/>
        <v>0</v>
      </c>
      <c r="AB127" s="245" t="str">
        <f>IF(AA127="","",IF(SUM(AA127-ref!E$38)&gt;0,0,IF(AA127=0, "0:00", SUM(AA127-ref!E$38))))</f>
        <v>0:00</v>
      </c>
      <c r="AC127" s="29"/>
      <c r="AD127" s="106"/>
      <c r="AE127" s="113" t="s">
        <v>29</v>
      </c>
      <c r="AF127" s="77">
        <f t="shared" si="99"/>
        <v>1</v>
      </c>
      <c r="AG127" s="19"/>
      <c r="AH127" s="178" t="s">
        <v>73</v>
      </c>
      <c r="AI127" s="54" t="s">
        <v>68</v>
      </c>
      <c r="AJ127" s="177" t="s">
        <v>74</v>
      </c>
      <c r="AK127" s="55" cm="1">
        <f t="array" ref="AK127">IF(ISNUMBER(G128),G128-_xlfn.AGGREGATE(14,6,(K$4:K127&lt;G128)*K$4:K127,1),"")</f>
        <v>0.46805555555329192</v>
      </c>
      <c r="AL127" s="20">
        <f>IF(ISNUMBER(AK127),ABS(IF(SUM(AK127-ref!E$9)&gt;0,0,SUM(AK127-ref!E$9))),"")</f>
        <v>0</v>
      </c>
      <c r="AQ127"/>
    </row>
    <row r="128" spans="2:43" x14ac:dyDescent="0.25">
      <c r="B128" s="79" t="s">
        <v>58</v>
      </c>
      <c r="C128" s="88" t="s">
        <v>20</v>
      </c>
      <c r="D128" s="88"/>
      <c r="E128" s="154">
        <f t="shared" si="100"/>
        <v>43917</v>
      </c>
      <c r="F128" s="159" t="s">
        <v>20</v>
      </c>
      <c r="G128" s="155">
        <f t="shared" si="96"/>
        <v>43917.452777777777</v>
      </c>
      <c r="H128" s="29">
        <v>0.45277777777777778</v>
      </c>
      <c r="I128" s="23">
        <f t="shared" si="101"/>
        <v>3.6805555555555647E-2</v>
      </c>
      <c r="J128" s="29">
        <v>0.86041666666666661</v>
      </c>
      <c r="K128" s="46">
        <f t="shared" si="97"/>
        <v>43917.86041666667</v>
      </c>
      <c r="L128" s="21">
        <f>IF(OR(F128="télétravail",F128="férié travaillé",F128="travail"),(J128-H128+IF(H128&gt;J128,1)-I128),INDEX(ref!$E$22:'ref'!$E$37,MATCH(F128,gerald3,0)))</f>
        <v>0.37083333333333318</v>
      </c>
      <c r="M128" s="13">
        <f>IF(SUM(L128-ref!E$8)&lt;0,0,SUM(L128-ref!E$8))</f>
        <v>0</v>
      </c>
      <c r="N128" s="252">
        <f>L128-(hs!D127+hs!F127+hs!H127+hs!J127)</f>
        <v>-0.12638888888888888</v>
      </c>
      <c r="O128" s="8">
        <f>IF(OR(F128="férié travaillé",F128="travail",F128="asa",F128="rtt"),J128-H128+IF(H128&gt;J128,1),INDEX(ref!$E$22:'ref'!$E$37,MATCH(F128,gerald2,0)))</f>
        <v>0.40763888888888883</v>
      </c>
      <c r="P128" s="14">
        <f>IF(SUM(O128-ref!E$4)&lt;0,0,SUM(O128-ref!E$4))</f>
        <v>0</v>
      </c>
      <c r="Q128" s="24">
        <f t="shared" si="102"/>
        <v>1.8805555555555551</v>
      </c>
      <c r="S128" s="137"/>
      <c r="T128" s="92">
        <v>0.52013888888888882</v>
      </c>
      <c r="U128" s="129">
        <v>0.55694444444444446</v>
      </c>
      <c r="V128" s="142">
        <f t="shared" si="98"/>
        <v>3.6805555555555647E-2</v>
      </c>
      <c r="W128" s="141">
        <f>IF(V128="","",IF(SUM(V128-ref!E$38)&gt;0,0,IF(V128=0, "0:00", SUM(V128-ref!E$38))))</f>
        <v>0</v>
      </c>
      <c r="X128" s="137"/>
      <c r="Y128" s="92"/>
      <c r="Z128" s="247"/>
      <c r="AA128" s="142">
        <f t="shared" si="103"/>
        <v>0</v>
      </c>
      <c r="AB128" s="245" t="str">
        <f>IF(AA128="","",IF(SUM(AA128-ref!E$38)&gt;0,0,IF(AA128=0, "0:00", SUM(AA128-ref!E$38))))</f>
        <v>0:00</v>
      </c>
      <c r="AC128" s="29"/>
      <c r="AD128" s="106"/>
      <c r="AE128" s="114">
        <f>Q131</f>
        <v>2.4763888888888888</v>
      </c>
      <c r="AF128" s="77">
        <f t="shared" si="99"/>
        <v>1</v>
      </c>
      <c r="AG128" s="19"/>
      <c r="AH128" s="178" t="s">
        <v>74</v>
      </c>
      <c r="AI128" s="54" t="s">
        <v>68</v>
      </c>
      <c r="AJ128" s="177" t="s">
        <v>75</v>
      </c>
      <c r="AK128" s="55" cm="1">
        <f t="array" ref="AK128">IF(ISNUMBER(G129),G129-_xlfn.AGGREGATE(14,6,(K$4:K128&lt;G129)*K$4:K128,1),"")</f>
        <v>0.5</v>
      </c>
      <c r="AL128" s="20">
        <f>IF(ISNUMBER(AK128),ABS(IF(SUM(AK128-ref!E$9)&gt;0,0,SUM(AK128-ref!E$9))),"")</f>
        <v>0</v>
      </c>
      <c r="AQ128"/>
    </row>
    <row r="129" spans="2:43" x14ac:dyDescent="0.25">
      <c r="B129" s="81">
        <v>3</v>
      </c>
      <c r="C129" s="88" t="s">
        <v>20</v>
      </c>
      <c r="D129" s="88"/>
      <c r="E129" s="154">
        <f t="shared" si="100"/>
        <v>43918</v>
      </c>
      <c r="F129" s="159" t="s">
        <v>20</v>
      </c>
      <c r="G129" s="155">
        <f t="shared" si="96"/>
        <v>43918.36041666667</v>
      </c>
      <c r="H129" s="29">
        <v>0.36041666666666666</v>
      </c>
      <c r="I129" s="23">
        <f t="shared" si="101"/>
        <v>1.8055555555555491E-2</v>
      </c>
      <c r="J129" s="29">
        <v>0.97430555555555554</v>
      </c>
      <c r="K129" s="46">
        <f t="shared" si="97"/>
        <v>43918.974305555559</v>
      </c>
      <c r="L129" s="21">
        <f>IF(OR(F129="télétravail",F129="férié travaillé",F129="travail"),(J129-H129+IF(H129&gt;J129,1)-I129),INDEX(ref!$E$22:'ref'!$E$37,MATCH(F129,gerald3,0)))</f>
        <v>0.59583333333333344</v>
      </c>
      <c r="M129" s="13">
        <f>IF(SUM(L129-ref!E$8)&lt;0,0,SUM(L129-ref!E$8))</f>
        <v>0.17916666666666675</v>
      </c>
      <c r="N129" s="252">
        <f>L129-(hs!D128+hs!F128+hs!H128+hs!J128)</f>
        <v>-0.22152777777777766</v>
      </c>
      <c r="O129" s="8">
        <f>IF(OR(F129="férié travaillé",F129="travail",F129="asa",F129="rtt"),J129-H129+IF(H129&gt;J129,1),INDEX(ref!$E$22:'ref'!$E$37,MATCH(F129,gerald2,0)))</f>
        <v>0.61388888888888893</v>
      </c>
      <c r="P129" s="14">
        <f>IF(SUM(O129-ref!E$4)&lt;0,0,SUM(O129-ref!E$4))</f>
        <v>0.11388888888888893</v>
      </c>
      <c r="Q129" s="24">
        <f t="shared" si="102"/>
        <v>2.4763888888888888</v>
      </c>
      <c r="S129" s="137"/>
      <c r="T129" s="92">
        <v>0.56180555555555556</v>
      </c>
      <c r="U129" s="129">
        <v>0.57986111111111105</v>
      </c>
      <c r="V129" s="142">
        <f t="shared" si="98"/>
        <v>1.8055555555555491E-2</v>
      </c>
      <c r="W129" s="141">
        <f>IF(V129="","",IF(SUM(V129-ref!E$38)&gt;0,0,IF(V129=0, "0:00", SUM(V129-ref!E$38))))</f>
        <v>-1.3194444444444509E-2</v>
      </c>
      <c r="X129" s="137"/>
      <c r="Y129" s="92"/>
      <c r="Z129" s="247"/>
      <c r="AA129" s="142">
        <f t="shared" si="103"/>
        <v>0</v>
      </c>
      <c r="AB129" s="245" t="str">
        <f>IF(AA129="","",IF(SUM(AA129-ref!E$38)&gt;0,0,IF(AA129=0, "0:00", SUM(AA129-ref!E$38))))</f>
        <v>0:00</v>
      </c>
      <c r="AC129" s="29"/>
      <c r="AD129" s="106"/>
      <c r="AE129" s="117" t="s">
        <v>47</v>
      </c>
      <c r="AF129" s="77">
        <f t="shared" si="99"/>
        <v>1</v>
      </c>
      <c r="AG129" s="19"/>
      <c r="AH129" s="178" t="s">
        <v>75</v>
      </c>
      <c r="AI129" s="54" t="s">
        <v>68</v>
      </c>
      <c r="AJ129" s="177" t="s">
        <v>76</v>
      </c>
      <c r="AK129" s="55" t="str" cm="1">
        <f t="array" ref="AK129">IF(ISNUMBER(G130),G130-_xlfn.AGGREGATE(14,6,(K$4:K129&lt;G130)*K$4:K129,1),"")</f>
        <v/>
      </c>
      <c r="AL129" s="20" t="str">
        <f>IF(ISNUMBER(AK129),ABS(IF(SUM(AK129-ref!E$9)&gt;0,0,SUM(AK129-ref!E$9))),"")</f>
        <v/>
      </c>
      <c r="AQ129"/>
    </row>
    <row r="130" spans="2:43" ht="15.75" thickBot="1" x14ac:dyDescent="0.3">
      <c r="B130"/>
      <c r="C130" s="89"/>
      <c r="D130" s="89"/>
      <c r="E130" s="154">
        <f t="shared" si="100"/>
        <v>43919</v>
      </c>
      <c r="F130" s="159" t="s">
        <v>19</v>
      </c>
      <c r="G130" s="155" t="str">
        <f t="shared" si="96"/>
        <v/>
      </c>
      <c r="H130" s="29"/>
      <c r="I130" s="23">
        <f t="shared" si="101"/>
        <v>0</v>
      </c>
      <c r="J130" s="29"/>
      <c r="K130" s="46" t="str">
        <f t="shared" si="97"/>
        <v/>
      </c>
      <c r="L130" s="21">
        <f>IF(OR(F130="télétravail",F130="férié travaillé",F130="travail"),(J130-H130+IF(H130&gt;J130,1)-I130),INDEX(ref!$E$22:'ref'!$E$37,MATCH(F130,gerald3,0)))</f>
        <v>0</v>
      </c>
      <c r="M130" s="13">
        <f>IF(SUM(L130-ref!E$8)&lt;0,0,SUM(L130-ref!E$8))</f>
        <v>0</v>
      </c>
      <c r="N130" s="252">
        <f>L130-(hs!D129+hs!F129+hs!H129+hs!J129)</f>
        <v>0</v>
      </c>
      <c r="O130" s="8">
        <f>IF(OR(F130="férié travaillé",F130="travail",F130="asa",F130="rtt"),J130-H130+IF(H130&gt;J130,1),INDEX(ref!$E$22:'ref'!$E$37,MATCH(F130,gerald2,0)))</f>
        <v>0</v>
      </c>
      <c r="P130" s="14">
        <f>IF(SUM(O130-ref!E$4)&lt;0,0,SUM(O130-ref!E$4))</f>
        <v>0</v>
      </c>
      <c r="Q130" s="97">
        <f t="shared" si="102"/>
        <v>2.4763888888888888</v>
      </c>
      <c r="S130" s="137"/>
      <c r="T130" s="92"/>
      <c r="U130" s="129"/>
      <c r="V130" s="142">
        <f t="shared" si="98"/>
        <v>0</v>
      </c>
      <c r="W130" s="141" t="str">
        <f>IF(V130="","",IF(SUM(V130-ref!E$38)&gt;0,0,IF(V130=0, "0:00", SUM(V130-ref!E$38))))</f>
        <v>0:00</v>
      </c>
      <c r="X130" s="137"/>
      <c r="Y130" s="92"/>
      <c r="Z130" s="247"/>
      <c r="AA130" s="142">
        <f t="shared" si="103"/>
        <v>0</v>
      </c>
      <c r="AB130" s="245" t="str">
        <f>IF(AA130="","",IF(SUM(AA130-ref!E$38)&gt;0,0,IF(AA130=0, "0:00", SUM(AA130-ref!E$38))))</f>
        <v>0:00</v>
      </c>
      <c r="AC130" s="29"/>
      <c r="AD130" s="106"/>
      <c r="AE130" s="118">
        <f>ref!E$11</f>
        <v>2</v>
      </c>
      <c r="AF130" s="77">
        <f t="shared" si="99"/>
        <v>0</v>
      </c>
      <c r="AG130" s="19"/>
      <c r="AH130" s="178" t="s">
        <v>76</v>
      </c>
      <c r="AI130" s="54" t="s">
        <v>68</v>
      </c>
      <c r="AJ130" s="177" t="s">
        <v>77</v>
      </c>
      <c r="AK130" s="55" t="str" cm="1">
        <f t="array" ref="AK130">IF(ISNUMBER(G131),G131-_xlfn.AGGREGATE(14,6,(K$4:K130&lt;G131)*K$4:K130,1),"")</f>
        <v/>
      </c>
      <c r="AL130" s="20" t="str">
        <f>IF(ISNUMBER(AK130),ABS(IF(SUM(AK130-ref!E$9)&gt;0,0,SUM(AK130-ref!E$9))),"")</f>
        <v/>
      </c>
      <c r="AQ130"/>
    </row>
    <row r="131" spans="2:43" ht="15.75" thickBot="1" x14ac:dyDescent="0.3">
      <c r="B131"/>
      <c r="C131" s="89"/>
      <c r="D131" s="89"/>
      <c r="E131" s="154">
        <f t="shared" si="100"/>
        <v>43920</v>
      </c>
      <c r="F131" s="160" t="s">
        <v>19</v>
      </c>
      <c r="G131" s="155" t="str">
        <f t="shared" si="96"/>
        <v/>
      </c>
      <c r="H131" s="29"/>
      <c r="I131" s="23">
        <f t="shared" si="101"/>
        <v>0</v>
      </c>
      <c r="J131" s="29"/>
      <c r="K131" s="46" t="str">
        <f t="shared" si="97"/>
        <v/>
      </c>
      <c r="L131" s="21">
        <f>IF(OR(F131="télétravail",F131="férié travaillé",F131="travail"),(J131-H131+IF(H131&gt;J131,1)-I131),INDEX(ref!$E$22:'ref'!$E$37,MATCH(F131,gerald3,0)))</f>
        <v>0</v>
      </c>
      <c r="M131" s="13">
        <f>IF(SUM(L131-ref!E$8)&lt;0,0,SUM(L131-ref!E$8))</f>
        <v>0</v>
      </c>
      <c r="N131" s="252">
        <f>L131-(hs!D130+hs!F130+hs!H130+hs!J130)</f>
        <v>0</v>
      </c>
      <c r="O131" s="8">
        <f>IF(OR(F131="férié travaillé",F131="travail",F131="asa",F131="rtt"),J131-H131+IF(H131&gt;J131,1),INDEX(ref!$E$22:'ref'!$E$37,MATCH(F131,gerald2,0)))</f>
        <v>0</v>
      </c>
      <c r="P131" s="14">
        <f>IF(SUM(O131-ref!E$4)&lt;0,0,SUM(O131-ref!E$4))</f>
        <v>0</v>
      </c>
      <c r="Q131" s="94">
        <f t="shared" si="102"/>
        <v>2.4763888888888888</v>
      </c>
      <c r="S131" s="138"/>
      <c r="T131" s="92"/>
      <c r="U131" s="129"/>
      <c r="V131" s="142">
        <f t="shared" si="98"/>
        <v>0</v>
      </c>
      <c r="W131" s="141" t="str">
        <f>IF(V131="","",IF(SUM(V131-ref!E$38)&gt;0,0,IF(V131=0, "0:00", SUM(V131-ref!E$38))))</f>
        <v>0:00</v>
      </c>
      <c r="X131" s="138"/>
      <c r="Y131" s="92"/>
      <c r="Z131" s="247"/>
      <c r="AA131" s="142">
        <f t="shared" si="103"/>
        <v>0</v>
      </c>
      <c r="AB131" s="246" t="str">
        <f>IF(AA131="","",IF(SUM(AA131-ref!E$38)&gt;0,0,IF(AA131=0, "0:00", SUM(AA131-ref!E$38))))</f>
        <v>0:00</v>
      </c>
      <c r="AC131" s="29"/>
      <c r="AD131" s="106"/>
      <c r="AE131" s="110">
        <f>IF(SUM(Q131-ref!E$11)&lt;0,0,SUM(Q131-ref!E$11))</f>
        <v>0.47638888888888875</v>
      </c>
      <c r="AF131" s="77">
        <f t="shared" si="99"/>
        <v>0</v>
      </c>
      <c r="AG131" s="19"/>
      <c r="AQ131"/>
    </row>
    <row r="132" spans="2:43" x14ac:dyDescent="0.25">
      <c r="C132" s="89"/>
      <c r="D132" s="89"/>
      <c r="F132" s="157"/>
      <c r="J132" s="22"/>
      <c r="W132" s="74"/>
      <c r="X132" s="2"/>
      <c r="Z132"/>
      <c r="AA132" s="2"/>
      <c r="AB132" s="2"/>
      <c r="AC132" s="127"/>
      <c r="AQ132"/>
    </row>
    <row r="133" spans="2:43" x14ac:dyDescent="0.25">
      <c r="C133" s="89"/>
      <c r="D133" s="89"/>
      <c r="F133" s="157"/>
      <c r="X133" s="2"/>
      <c r="Z133"/>
      <c r="AA133" s="2"/>
      <c r="AB133" s="2"/>
      <c r="AC133" s="127"/>
      <c r="AQ133"/>
    </row>
    <row r="134" spans="2:43" ht="15.75" thickBot="1" x14ac:dyDescent="0.3">
      <c r="C134" s="89"/>
      <c r="D134" s="89"/>
      <c r="F134" s="157"/>
      <c r="W134" s="74"/>
      <c r="X134" s="2"/>
      <c r="Z134"/>
      <c r="AA134" s="2"/>
      <c r="AB134" s="2"/>
      <c r="AC134" s="127"/>
      <c r="AQ134"/>
    </row>
    <row r="135" spans="2:43" x14ac:dyDescent="0.25">
      <c r="B135" s="78" t="s">
        <v>1</v>
      </c>
      <c r="C135" s="88" t="s">
        <v>20</v>
      </c>
      <c r="D135" s="88"/>
      <c r="E135" s="156">
        <f>DATE(ref!E$2,B139,B137)</f>
        <v>43921</v>
      </c>
      <c r="F135" s="158" t="s">
        <v>26</v>
      </c>
      <c r="G135" s="155" t="str">
        <f t="shared" ref="G135:G141" si="104">IF(AND(J135="",H135=""),"",E135+H135)</f>
        <v/>
      </c>
      <c r="H135" s="29"/>
      <c r="I135" s="23">
        <f>SUM(V135+AA135+AC135)</f>
        <v>0</v>
      </c>
      <c r="J135" s="29"/>
      <c r="K135" s="46" t="str">
        <f t="shared" ref="K135:K141" si="105">IF(AND(H135="",J135=""),"",E135+J135+(H135&gt;J135))</f>
        <v/>
      </c>
      <c r="L135" s="21">
        <f>IF(OR(F135="télétravail",F135="férié travaillé",F135="travail"),(J135-H135+IF(H135&gt;J135,1)-I135),INDEX(ref!$E$22:'ref'!$E$37,MATCH(F135,gerald3,0)))</f>
        <v>0.29166666666666669</v>
      </c>
      <c r="M135" s="13">
        <f>IF(SUM(L135-ref!E$8)&lt;0,0,SUM(L135-ref!E$8))</f>
        <v>0</v>
      </c>
      <c r="N135" s="252">
        <f>L135-(hs!D134+hs!F134+hs!H134+hs!J134)</f>
        <v>0.29166666666666669</v>
      </c>
      <c r="O135" s="8">
        <f>IF(OR(F135="férié travaillé",F135="travail",F135="asa",F135="rtt"),J135-H135+IF(H135&gt;J135,1),INDEX(ref!$E$22:'ref'!$E$37,MATCH(F135,gerald2,0)))</f>
        <v>0.29166666666666669</v>
      </c>
      <c r="P135" s="14">
        <f>IF(SUM(O135-ref!E$4)&lt;0,0,SUM(O135-ref!E$4))</f>
        <v>0</v>
      </c>
      <c r="Q135" s="21">
        <f>L135</f>
        <v>0.29166666666666669</v>
      </c>
      <c r="S135" s="136"/>
      <c r="T135" s="92"/>
      <c r="U135" s="129"/>
      <c r="V135" s="142">
        <f t="shared" ref="V135:V141" si="106">U135-T135</f>
        <v>0</v>
      </c>
      <c r="W135" s="141" t="str">
        <f>IF(V135="","",IF(SUM(V135-ref!E$38)&gt;0,0,IF(V135=0, "0:00", SUM(V135-ref!E$38))))</f>
        <v>0:00</v>
      </c>
      <c r="X135" s="136"/>
      <c r="Y135" s="92"/>
      <c r="Z135" s="247"/>
      <c r="AA135" s="142">
        <f>Z135-Y135</f>
        <v>0</v>
      </c>
      <c r="AB135" s="244" t="str">
        <f>IF(AA135="","",IF(SUM(AA135-ref!E$38)&gt;0,0,IF(AA135=0, "0:00", SUM(AA135-ref!E$38))))</f>
        <v>0:00</v>
      </c>
      <c r="AC135" s="29"/>
      <c r="AD135" s="106"/>
      <c r="AE135" s="111">
        <f>SUM(AF135:AF141)</f>
        <v>5</v>
      </c>
      <c r="AF135" s="77">
        <f t="shared" ref="AF135:AF141" si="107">IF(AND(H135&lt;&gt;"",J135&lt;&gt;""),1,0+OR(N(J134)&lt;N(H134),F135="récupération",F135="congé 1 jour",F135="congé 1/2 jour ",F135="congé 5h24",F135="arrêt maladie",F135="arrêt travail",F135="férié ",F135="congé parentale",F135="congé de naissance"))</f>
        <v>1</v>
      </c>
      <c r="AG135" s="19"/>
      <c r="AH135" s="176" t="s">
        <v>71</v>
      </c>
      <c r="AI135" s="54" t="s">
        <v>68</v>
      </c>
      <c r="AJ135" s="177" t="s">
        <v>72</v>
      </c>
      <c r="AK135" s="55" cm="1">
        <f t="array" ref="AK135">IF(ISNUMBER(G136),G136-_xlfn.AGGREGATE(14,6,(K$4:K135&lt;G136)*K$4:K135,1),"")</f>
        <v>3.4013888888875954</v>
      </c>
      <c r="AL135" s="20">
        <f>IF(ISNUMBER(AK135),ABS(IF(SUM(AK135-ref!E$9)&gt;0,0,SUM(AK135-ref!E$9))),"")</f>
        <v>0</v>
      </c>
      <c r="AQ135"/>
    </row>
    <row r="136" spans="2:43" x14ac:dyDescent="0.25">
      <c r="B136" s="79" t="s">
        <v>1</v>
      </c>
      <c r="C136" s="88" t="s">
        <v>20</v>
      </c>
      <c r="D136" s="88"/>
      <c r="E136" s="156">
        <f t="shared" ref="E136:E141" si="108">E135+1</f>
        <v>43922</v>
      </c>
      <c r="F136" s="159" t="s">
        <v>20</v>
      </c>
      <c r="G136" s="155">
        <f t="shared" si="104"/>
        <v>43922.375694444447</v>
      </c>
      <c r="H136" s="29">
        <v>0.3756944444444445</v>
      </c>
      <c r="I136" s="23">
        <f t="shared" ref="I136:I141" si="109">SUM(V136+AA136+AC136)</f>
        <v>2.430555555555558E-2</v>
      </c>
      <c r="J136" s="29">
        <v>0.71527777777777779</v>
      </c>
      <c r="K136" s="46">
        <f t="shared" si="105"/>
        <v>43922.715277777781</v>
      </c>
      <c r="L136" s="21">
        <f>IF(OR(F136="télétravail",F136="férié travaillé",F136="travail"),(J136-H136+IF(H136&gt;J136,1)-I136),INDEX(ref!$E$22:'ref'!$E$37,MATCH(F136,gerald3,0)))</f>
        <v>0.31527777777777771</v>
      </c>
      <c r="M136" s="13">
        <f>IF(SUM(L136-ref!E$8)&lt;0,0,SUM(L136-ref!E$8))</f>
        <v>0</v>
      </c>
      <c r="N136" s="252">
        <f>L136-(hs!D135+hs!F135+hs!H135+hs!J135)</f>
        <v>-2.430555555555558E-2</v>
      </c>
      <c r="O136" s="8">
        <f>IF(OR(F136="férié travaillé",F136="travail",F136="asa",F136="rtt"),J136-H136+IF(H136&gt;J136,1),INDEX(ref!$E$22:'ref'!$E$37,MATCH(F136,gerald2,0)))</f>
        <v>0.33958333333333329</v>
      </c>
      <c r="P136" s="14">
        <f>IF(SUM(O136-ref!E$4)&lt;0,0,SUM(O136-ref!E$4))</f>
        <v>0</v>
      </c>
      <c r="Q136" s="24">
        <f t="shared" ref="Q136:Q141" si="110">Q135+L136</f>
        <v>0.6069444444444444</v>
      </c>
      <c r="S136" s="137"/>
      <c r="T136" s="92">
        <v>0.53125</v>
      </c>
      <c r="U136" s="129">
        <v>0.55555555555555558</v>
      </c>
      <c r="V136" s="142">
        <f t="shared" si="106"/>
        <v>2.430555555555558E-2</v>
      </c>
      <c r="W136" s="141">
        <f>IF(V136="","",IF(SUM(V136-ref!E$38)&gt;0,0,IF(V136=0, "0:00", SUM(V136-ref!E$38))))</f>
        <v>-6.9444444444444198E-3</v>
      </c>
      <c r="X136" s="137"/>
      <c r="Y136" s="92"/>
      <c r="Z136" s="247"/>
      <c r="AA136" s="142">
        <f t="shared" ref="AA136:AA141" si="111">Z136-Y136</f>
        <v>0</v>
      </c>
      <c r="AB136" s="245" t="str">
        <f>IF(AA136="","",IF(SUM(AA136-ref!E$38)&gt;0,0,IF(AA136=0, "0:00", SUM(AA136-ref!E$38))))</f>
        <v>0:00</v>
      </c>
      <c r="AC136" s="29"/>
      <c r="AD136" s="106"/>
      <c r="AE136" s="112">
        <f>IF(SUM(AE135-ref!E$7)&lt;0,0,SUM(AE135-ref!E$7))</f>
        <v>0</v>
      </c>
      <c r="AF136" s="77">
        <f t="shared" si="107"/>
        <v>1</v>
      </c>
      <c r="AG136" s="19"/>
      <c r="AH136" s="178" t="s">
        <v>72</v>
      </c>
      <c r="AI136" s="54" t="s">
        <v>68</v>
      </c>
      <c r="AJ136" s="177" t="s">
        <v>73</v>
      </c>
      <c r="AK136" s="55" cm="1">
        <f t="array" ref="AK136">IF(ISNUMBER(G137),G137-_xlfn.AGGREGATE(14,6,(K$4:K136&lt;G137)*K$4:K136,1),"")</f>
        <v>0.66319444443797693</v>
      </c>
      <c r="AL136" s="20">
        <f>IF(ISNUMBER(AK136),ABS(IF(SUM(AK136-ref!E$9)&gt;0,0,SUM(AK136-ref!E$9))),"")</f>
        <v>0</v>
      </c>
      <c r="AQ136"/>
    </row>
    <row r="137" spans="2:43" x14ac:dyDescent="0.25">
      <c r="B137" s="80">
        <v>1</v>
      </c>
      <c r="C137" s="88" t="s">
        <v>20</v>
      </c>
      <c r="D137" s="88"/>
      <c r="E137" s="156">
        <f t="shared" si="108"/>
        <v>43923</v>
      </c>
      <c r="F137" s="159" t="s">
        <v>20</v>
      </c>
      <c r="G137" s="155">
        <f t="shared" si="104"/>
        <v>43923.378472222219</v>
      </c>
      <c r="H137" s="29">
        <v>0.37847222222222227</v>
      </c>
      <c r="I137" s="23">
        <f t="shared" si="109"/>
        <v>1.9444444444444486E-2</v>
      </c>
      <c r="J137" s="29">
        <v>0.88194444444444453</v>
      </c>
      <c r="K137" s="46">
        <f t="shared" si="105"/>
        <v>43923.881944444445</v>
      </c>
      <c r="L137" s="21">
        <f>IF(OR(F137="télétravail",F137="férié travaillé",F137="travail"),(J137-H137+IF(H137&gt;J137,1)-I137),INDEX(ref!$E$22:'ref'!$E$37,MATCH(F137,gerald3,0)))</f>
        <v>0.48402777777777783</v>
      </c>
      <c r="M137" s="13">
        <f>IF(SUM(L137-ref!E$8)&lt;0,0,SUM(L137-ref!E$8))</f>
        <v>6.7361111111111149E-2</v>
      </c>
      <c r="N137" s="252">
        <f>L137-(hs!D136+hs!F136+hs!H136+hs!J136)</f>
        <v>-0.13055555555555565</v>
      </c>
      <c r="O137" s="8">
        <f>IF(OR(F137="férié travaillé",F137="travail",F137="asa",F137="rtt"),J137-H137+IF(H137&gt;J137,1),INDEX(ref!$E$22:'ref'!$E$37,MATCH(F137,gerald2,0)))</f>
        <v>0.50347222222222232</v>
      </c>
      <c r="P137" s="14">
        <f>IF(SUM(O137-ref!E$4)&lt;0,0,SUM(O137-ref!E$4))</f>
        <v>3.4722222222223209E-3</v>
      </c>
      <c r="Q137" s="24">
        <f t="shared" si="110"/>
        <v>1.0909722222222222</v>
      </c>
      <c r="S137" s="137"/>
      <c r="T137" s="92">
        <v>0.54305555555555551</v>
      </c>
      <c r="U137" s="129">
        <v>0.5625</v>
      </c>
      <c r="V137" s="142">
        <f t="shared" si="106"/>
        <v>1.9444444444444486E-2</v>
      </c>
      <c r="W137" s="141">
        <f>IF(V137="","",IF(SUM(V137-ref!E$38)&gt;0,0,IF(V137=0, "0:00", SUM(V137-ref!E$38))))</f>
        <v>-1.1805555555555514E-2</v>
      </c>
      <c r="X137" s="137"/>
      <c r="Y137" s="92"/>
      <c r="Z137" s="247"/>
      <c r="AA137" s="142">
        <f t="shared" si="111"/>
        <v>0</v>
      </c>
      <c r="AB137" s="245" t="str">
        <f>IF(AA137="","",IF(SUM(AA137-ref!E$38)&gt;0,0,IF(AA137=0, "0:00", SUM(AA137-ref!E$38))))</f>
        <v>0:00</v>
      </c>
      <c r="AC137" s="29"/>
      <c r="AD137" s="106"/>
      <c r="AE137" s="113" t="s">
        <v>29</v>
      </c>
      <c r="AF137" s="77">
        <f t="shared" si="107"/>
        <v>1</v>
      </c>
      <c r="AG137" s="19"/>
      <c r="AH137" s="178" t="s">
        <v>73</v>
      </c>
      <c r="AI137" s="54" t="s">
        <v>68</v>
      </c>
      <c r="AJ137" s="177" t="s">
        <v>74</v>
      </c>
      <c r="AK137" s="55" cm="1">
        <f t="array" ref="AK137">IF(ISNUMBER(G138),G138-_xlfn.AGGREGATE(14,6,(K$4:K137&lt;G138)*K$4:K137,1),"")</f>
        <v>0.6993055555576575</v>
      </c>
      <c r="AL137" s="20">
        <f>IF(ISNUMBER(AK137),ABS(IF(SUM(AK137-ref!E$9)&gt;0,0,SUM(AK137-ref!E$9))),"")</f>
        <v>0</v>
      </c>
      <c r="AQ137"/>
    </row>
    <row r="138" spans="2:43" x14ac:dyDescent="0.25">
      <c r="B138" s="79" t="s">
        <v>58</v>
      </c>
      <c r="C138" s="88" t="s">
        <v>20</v>
      </c>
      <c r="D138" s="88"/>
      <c r="E138" s="156">
        <f t="shared" si="108"/>
        <v>43924</v>
      </c>
      <c r="F138" s="159" t="s">
        <v>20</v>
      </c>
      <c r="G138" s="155">
        <f t="shared" si="104"/>
        <v>43924.581250000003</v>
      </c>
      <c r="H138" s="29">
        <v>0.58124999999999993</v>
      </c>
      <c r="I138" s="23">
        <f t="shared" si="109"/>
        <v>0</v>
      </c>
      <c r="J138" s="29">
        <v>0.99513888888888891</v>
      </c>
      <c r="K138" s="46">
        <f t="shared" si="105"/>
        <v>43924.995138888888</v>
      </c>
      <c r="L138" s="21">
        <f>IF(OR(F138="télétravail",F138="férié travaillé",F138="travail"),(J138-H138+IF(H138&gt;J138,1)-I138),INDEX(ref!$E$22:'ref'!$E$37,MATCH(F138,gerald3,0)))</f>
        <v>0.41388888888888897</v>
      </c>
      <c r="M138" s="13">
        <f>IF(SUM(L138-ref!E$8)&lt;0,0,SUM(L138-ref!E$8))</f>
        <v>0</v>
      </c>
      <c r="N138" s="252">
        <f>L138-(hs!D137+hs!F137+hs!H137+hs!J137)</f>
        <v>-0.22430555555555554</v>
      </c>
      <c r="O138" s="8">
        <f>IF(OR(F138="férié travaillé",F138="travail",F138="asa",F138="rtt"),J138-H138+IF(H138&gt;J138,1),INDEX(ref!$E$22:'ref'!$E$37,MATCH(F138,gerald2,0)))</f>
        <v>0.41388888888888897</v>
      </c>
      <c r="P138" s="14">
        <f>IF(SUM(O138-ref!E$4)&lt;0,0,SUM(O138-ref!E$4))</f>
        <v>0</v>
      </c>
      <c r="Q138" s="24">
        <f t="shared" si="110"/>
        <v>1.5048611111111112</v>
      </c>
      <c r="S138" s="137"/>
      <c r="T138" s="92"/>
      <c r="U138" s="129"/>
      <c r="V138" s="142">
        <f t="shared" si="106"/>
        <v>0</v>
      </c>
      <c r="W138" s="141" t="str">
        <f>IF(V138="","",IF(SUM(V138-ref!E$38)&gt;0,0,IF(V138=0, "0:00", SUM(V138-ref!E$38))))</f>
        <v>0:00</v>
      </c>
      <c r="X138" s="137"/>
      <c r="Y138" s="92"/>
      <c r="Z138" s="247"/>
      <c r="AA138" s="142">
        <f t="shared" si="111"/>
        <v>0</v>
      </c>
      <c r="AB138" s="245" t="str">
        <f>IF(AA138="","",IF(SUM(AA138-ref!E$38)&gt;0,0,IF(AA138=0, "0:00", SUM(AA138-ref!E$38))))</f>
        <v>0:00</v>
      </c>
      <c r="AC138" s="29"/>
      <c r="AD138" s="106"/>
      <c r="AE138" s="114">
        <f>Q141</f>
        <v>1.8486111111111112</v>
      </c>
      <c r="AF138" s="77">
        <f t="shared" si="107"/>
        <v>1</v>
      </c>
      <c r="AG138" s="19"/>
      <c r="AH138" s="178" t="s">
        <v>74</v>
      </c>
      <c r="AI138" s="54" t="s">
        <v>68</v>
      </c>
      <c r="AJ138" s="177" t="s">
        <v>75</v>
      </c>
      <c r="AK138" s="55" cm="1">
        <f t="array" ref="AK138">IF(ISNUMBER(G139),G139-_xlfn.AGGREGATE(14,6,(K$4:K138&lt;G139)*K$4:K138,1),"")</f>
        <v>0.37708333333284827</v>
      </c>
      <c r="AL138" s="20">
        <f>IF(ISNUMBER(AK138),ABS(IF(SUM(AK138-ref!E$9)&gt;0,0,SUM(AK138-ref!E$9))),"")</f>
        <v>8.1250000000485045E-2</v>
      </c>
      <c r="AQ138"/>
    </row>
    <row r="139" spans="2:43" x14ac:dyDescent="0.25">
      <c r="B139" s="81">
        <v>4</v>
      </c>
      <c r="C139" s="88" t="s">
        <v>20</v>
      </c>
      <c r="D139" s="88"/>
      <c r="E139" s="156">
        <f t="shared" si="108"/>
        <v>43925</v>
      </c>
      <c r="F139" s="159" t="s">
        <v>20</v>
      </c>
      <c r="G139" s="155">
        <f t="shared" si="104"/>
        <v>43925.37222222222</v>
      </c>
      <c r="H139" s="29">
        <v>0.37222222222222223</v>
      </c>
      <c r="I139" s="23">
        <f t="shared" si="109"/>
        <v>1.5972222222222165E-2</v>
      </c>
      <c r="J139" s="29">
        <v>0.7319444444444444</v>
      </c>
      <c r="K139" s="46">
        <f t="shared" si="105"/>
        <v>43925.731944444444</v>
      </c>
      <c r="L139" s="21">
        <f>IF(OR(F139="télétravail",F139="férié travaillé",F139="travail"),(J139-H139+IF(H139&gt;J139,1)-I139),INDEX(ref!$E$22:'ref'!$E$37,MATCH(F139,gerald3,0)))</f>
        <v>0.34375</v>
      </c>
      <c r="M139" s="13">
        <f>IF(SUM(L139-ref!E$8)&lt;0,0,SUM(L139-ref!E$8))</f>
        <v>0</v>
      </c>
      <c r="N139" s="252">
        <f>L139-(hs!D138+hs!F138+hs!H138+hs!J138)</f>
        <v>-1.5972222222222165E-2</v>
      </c>
      <c r="O139" s="8">
        <f>IF(OR(F139="férié travaillé",F139="travail",F139="asa",F139="rtt"),J139-H139+IF(H139&gt;J139,1),INDEX(ref!$E$22:'ref'!$E$37,MATCH(F139,gerald2,0)))</f>
        <v>0.35972222222222217</v>
      </c>
      <c r="P139" s="14">
        <f>IF(SUM(O139-ref!E$4)&lt;0,0,SUM(O139-ref!E$4))</f>
        <v>0</v>
      </c>
      <c r="Q139" s="24">
        <f t="shared" si="110"/>
        <v>1.8486111111111112</v>
      </c>
      <c r="S139" s="137"/>
      <c r="T139" s="92">
        <v>0.56388888888888888</v>
      </c>
      <c r="U139" s="129">
        <v>0.57986111111111105</v>
      </c>
      <c r="V139" s="142">
        <f t="shared" si="106"/>
        <v>1.5972222222222165E-2</v>
      </c>
      <c r="W139" s="141">
        <f>IF(V139="","",IF(SUM(V139-ref!E$38)&gt;0,0,IF(V139=0, "0:00", SUM(V139-ref!E$38))))</f>
        <v>-1.5277777777777835E-2</v>
      </c>
      <c r="X139" s="137"/>
      <c r="Y139" s="92"/>
      <c r="Z139" s="247"/>
      <c r="AA139" s="142">
        <f t="shared" si="111"/>
        <v>0</v>
      </c>
      <c r="AB139" s="245" t="str">
        <f>IF(AA139="","",IF(SUM(AA139-ref!E$38)&gt;0,0,IF(AA139=0, "0:00", SUM(AA139-ref!E$38))))</f>
        <v>0:00</v>
      </c>
      <c r="AC139" s="29"/>
      <c r="AD139" s="106"/>
      <c r="AE139" s="117" t="s">
        <v>47</v>
      </c>
      <c r="AF139" s="77">
        <f t="shared" si="107"/>
        <v>1</v>
      </c>
      <c r="AG139" s="19"/>
      <c r="AH139" s="178" t="s">
        <v>75</v>
      </c>
      <c r="AI139" s="54" t="s">
        <v>68</v>
      </c>
      <c r="AJ139" s="177" t="s">
        <v>76</v>
      </c>
      <c r="AK139" s="55" t="str" cm="1">
        <f t="array" ref="AK139">IF(ISNUMBER(G140),G140-_xlfn.AGGREGATE(14,6,(K$4:K139&lt;G140)*K$4:K139,1),"")</f>
        <v/>
      </c>
      <c r="AL139" s="20" t="str">
        <f>IF(ISNUMBER(AK139),ABS(IF(SUM(AK139-ref!E$9)&gt;0,0,SUM(AK139-ref!E$9))),"")</f>
        <v/>
      </c>
      <c r="AQ139"/>
    </row>
    <row r="140" spans="2:43" ht="15.75" thickBot="1" x14ac:dyDescent="0.3">
      <c r="B140"/>
      <c r="C140" s="89"/>
      <c r="D140" s="89"/>
      <c r="E140" s="156">
        <f t="shared" si="108"/>
        <v>43926</v>
      </c>
      <c r="F140" s="159" t="s">
        <v>19</v>
      </c>
      <c r="G140" s="155" t="str">
        <f t="shared" si="104"/>
        <v/>
      </c>
      <c r="H140" s="29"/>
      <c r="I140" s="23">
        <f t="shared" si="109"/>
        <v>0</v>
      </c>
      <c r="J140" s="29"/>
      <c r="K140" s="46" t="str">
        <f t="shared" si="105"/>
        <v/>
      </c>
      <c r="L140" s="21">
        <f>IF(OR(F140="télétravail",F140="férié travaillé",F140="travail"),(J140-H140+IF(H140&gt;J140,1)-I140),INDEX(ref!$E$22:'ref'!$E$37,MATCH(F140,gerald3,0)))</f>
        <v>0</v>
      </c>
      <c r="M140" s="13">
        <f>IF(SUM(L140-ref!E$8)&lt;0,0,SUM(L140-ref!E$8))</f>
        <v>0</v>
      </c>
      <c r="N140" s="252">
        <f>L140-(hs!D139+hs!F139+hs!H139+hs!J139)</f>
        <v>0</v>
      </c>
      <c r="O140" s="8">
        <f>IF(OR(F140="férié travaillé",F140="travail",F140="asa",F140="rtt"),J140-H140+IF(H140&gt;J140,1),INDEX(ref!$E$22:'ref'!$E$37,MATCH(F140,gerald2,0)))</f>
        <v>0</v>
      </c>
      <c r="P140" s="14">
        <f>IF(SUM(O140-ref!E$4)&lt;0,0,SUM(O140-ref!E$4))</f>
        <v>0</v>
      </c>
      <c r="Q140" s="97">
        <f t="shared" si="110"/>
        <v>1.8486111111111112</v>
      </c>
      <c r="S140" s="137"/>
      <c r="T140" s="92"/>
      <c r="U140" s="129"/>
      <c r="V140" s="142">
        <f t="shared" si="106"/>
        <v>0</v>
      </c>
      <c r="W140" s="141" t="str">
        <f>IF(V140="","",IF(SUM(V140-ref!E$38)&gt;0,0,IF(V140=0, "0:00", SUM(V140-ref!E$38))))</f>
        <v>0:00</v>
      </c>
      <c r="X140" s="137"/>
      <c r="Y140" s="92"/>
      <c r="Z140" s="247"/>
      <c r="AA140" s="142">
        <f t="shared" si="111"/>
        <v>0</v>
      </c>
      <c r="AB140" s="245" t="str">
        <f>IF(AA140="","",IF(SUM(AA140-ref!E$38)&gt;0,0,IF(AA140=0, "0:00", SUM(AA140-ref!E$38))))</f>
        <v>0:00</v>
      </c>
      <c r="AC140" s="29"/>
      <c r="AD140" s="106"/>
      <c r="AE140" s="118">
        <f>ref!E$11</f>
        <v>2</v>
      </c>
      <c r="AF140" s="77">
        <f t="shared" si="107"/>
        <v>0</v>
      </c>
      <c r="AG140" s="19"/>
      <c r="AH140" s="178" t="s">
        <v>76</v>
      </c>
      <c r="AI140" s="54" t="s">
        <v>68</v>
      </c>
      <c r="AJ140" s="177" t="s">
        <v>77</v>
      </c>
      <c r="AK140" s="55" t="str" cm="1">
        <f t="array" ref="AK140">IF(ISNUMBER(G141),G141-_xlfn.AGGREGATE(14,6,(K$4:K140&lt;G141)*K$4:K140,1),"")</f>
        <v/>
      </c>
      <c r="AL140" s="20" t="str">
        <f>IF(ISNUMBER(AK140),ABS(IF(SUM(AK140-ref!E$9)&gt;0,0,SUM(AK140-ref!E$9))),"")</f>
        <v/>
      </c>
      <c r="AQ140"/>
    </row>
    <row r="141" spans="2:43" ht="15.75" thickBot="1" x14ac:dyDescent="0.3">
      <c r="B141"/>
      <c r="C141" s="89"/>
      <c r="D141" s="89"/>
      <c r="E141" s="156">
        <f t="shared" si="108"/>
        <v>43927</v>
      </c>
      <c r="F141" s="160" t="s">
        <v>19</v>
      </c>
      <c r="G141" s="155" t="str">
        <f t="shared" si="104"/>
        <v/>
      </c>
      <c r="H141" s="29"/>
      <c r="I141" s="23">
        <f t="shared" si="109"/>
        <v>0</v>
      </c>
      <c r="J141" s="29"/>
      <c r="K141" s="46" t="str">
        <f t="shared" si="105"/>
        <v/>
      </c>
      <c r="L141" s="21">
        <f>IF(OR(F141="télétravail",F141="férié travaillé",F141="travail"),(J141-H141+IF(H141&gt;J141,1)-I141),INDEX(ref!$E$22:'ref'!$E$37,MATCH(F141,gerald3,0)))</f>
        <v>0</v>
      </c>
      <c r="M141" s="13">
        <f>IF(SUM(L141-ref!E$8)&lt;0,0,SUM(L141-ref!E$8))</f>
        <v>0</v>
      </c>
      <c r="N141" s="252">
        <f>L141-(hs!D140+hs!F140+hs!H140+hs!J140)</f>
        <v>0</v>
      </c>
      <c r="O141" s="8">
        <f>IF(OR(F141="férié travaillé",F141="travail",F141="asa",F141="rtt"),J141-H141+IF(H141&gt;J141,1),INDEX(ref!$E$22:'ref'!$E$37,MATCH(F141,gerald2,0)))</f>
        <v>0</v>
      </c>
      <c r="P141" s="14">
        <f>IF(SUM(O141-ref!E$4)&lt;0,0,SUM(O141-ref!E$4))</f>
        <v>0</v>
      </c>
      <c r="Q141" s="94">
        <f t="shared" si="110"/>
        <v>1.8486111111111112</v>
      </c>
      <c r="S141" s="138"/>
      <c r="T141" s="92"/>
      <c r="U141" s="129"/>
      <c r="V141" s="142">
        <f t="shared" si="106"/>
        <v>0</v>
      </c>
      <c r="W141" s="141" t="str">
        <f>IF(V141="","",IF(SUM(V141-ref!E$38)&gt;0,0,IF(V141=0, "0:00", SUM(V141-ref!E$38))))</f>
        <v>0:00</v>
      </c>
      <c r="X141" s="138"/>
      <c r="Y141" s="92"/>
      <c r="Z141" s="247"/>
      <c r="AA141" s="142">
        <f t="shared" si="111"/>
        <v>0</v>
      </c>
      <c r="AB141" s="246" t="str">
        <f>IF(AA141="","",IF(SUM(AA141-ref!E$38)&gt;0,0,IF(AA141=0, "0:00", SUM(AA141-ref!E$38))))</f>
        <v>0:00</v>
      </c>
      <c r="AC141" s="29"/>
      <c r="AD141" s="106"/>
      <c r="AE141" s="110">
        <f>IF(SUM(Q141-ref!E$11)&lt;0,0,SUM(Q141-ref!E$11))</f>
        <v>0</v>
      </c>
      <c r="AF141" s="77">
        <f t="shared" si="107"/>
        <v>0</v>
      </c>
      <c r="AG141" s="19"/>
      <c r="AQ141"/>
    </row>
    <row r="142" spans="2:43" x14ac:dyDescent="0.25">
      <c r="C142" s="89"/>
      <c r="D142" s="89"/>
      <c r="F142" s="157"/>
      <c r="W142" s="74"/>
      <c r="X142" s="2"/>
      <c r="Z142"/>
      <c r="AA142" s="2"/>
      <c r="AB142" s="2"/>
      <c r="AC142" s="127"/>
      <c r="AQ142"/>
    </row>
    <row r="143" spans="2:43" x14ac:dyDescent="0.25">
      <c r="C143" s="89"/>
      <c r="D143" s="89"/>
      <c r="F143" s="157"/>
      <c r="X143" s="41"/>
      <c r="Y143" s="16"/>
      <c r="Z143"/>
      <c r="AA143" s="16"/>
      <c r="AB143" s="2"/>
      <c r="AC143" s="135"/>
      <c r="AQ143"/>
    </row>
    <row r="144" spans="2:43" ht="15.75" thickBot="1" x14ac:dyDescent="0.3">
      <c r="C144" s="89"/>
      <c r="D144" s="89"/>
      <c r="F144" s="157"/>
      <c r="X144" s="2"/>
      <c r="Z144"/>
      <c r="AA144" s="2"/>
      <c r="AB144" s="2"/>
      <c r="AC144" s="127"/>
      <c r="AQ144"/>
    </row>
    <row r="145" spans="2:43" x14ac:dyDescent="0.25">
      <c r="B145" s="78" t="s">
        <v>1</v>
      </c>
      <c r="C145" s="88" t="s">
        <v>20</v>
      </c>
      <c r="D145" s="88"/>
      <c r="E145" s="154">
        <f>DATE(ref!E$2,B149,B147)</f>
        <v>43928</v>
      </c>
      <c r="F145" s="158" t="s">
        <v>20</v>
      </c>
      <c r="G145" s="155">
        <f t="shared" ref="G145:G151" si="112">IF(AND(J145="",H145=""),"",E145+H145)</f>
        <v>43928.373611111114</v>
      </c>
      <c r="H145" s="29">
        <v>0.37361111111111112</v>
      </c>
      <c r="I145" s="23">
        <f>SUM(V145+AA145+AC145)</f>
        <v>3.5416666666666652E-2</v>
      </c>
      <c r="J145" s="29">
        <v>0.71458333333333324</v>
      </c>
      <c r="K145" s="46">
        <f t="shared" ref="K145:K151" si="113">IF(AND(H145="",J145=""),"",E145+J145+(H145&gt;J145))</f>
        <v>43928.714583333334</v>
      </c>
      <c r="L145" s="21">
        <f>IF(OR(F145="télétravail",F145="férié travaillé",F145="travail"),(J145-H145+IF(H145&gt;J145,1)-I145),INDEX(ref!$E$22:'ref'!$E$37,MATCH(F145,gerald3,0)))</f>
        <v>0.30555555555555547</v>
      </c>
      <c r="M145" s="13">
        <f>IF(SUM(L145-ref!E$8)&lt;0,0,SUM(L145-ref!E$8))</f>
        <v>0</v>
      </c>
      <c r="N145" s="252">
        <f>L145-(hs!D144+hs!F144+hs!H144+hs!J144)</f>
        <v>-3.5416666666666652E-2</v>
      </c>
      <c r="O145" s="8">
        <f>IF(OR(F145="férié travaillé",F145="travail",F145="asa",F145="rtt"),J145-H145+IF(H145&gt;J145,1),INDEX(ref!$E$22:'ref'!$E$37,MATCH(F145,gerald2,0)))</f>
        <v>0.34097222222222212</v>
      </c>
      <c r="P145" s="14">
        <f>IF(SUM(O145-ref!E$4)&lt;0,0,SUM(O145-ref!E$4))</f>
        <v>0</v>
      </c>
      <c r="Q145" s="21">
        <f>L145</f>
        <v>0.30555555555555547</v>
      </c>
      <c r="S145" s="136"/>
      <c r="T145" s="92">
        <v>0.51527777777777783</v>
      </c>
      <c r="U145" s="129">
        <v>0.55069444444444449</v>
      </c>
      <c r="V145" s="142">
        <f t="shared" ref="V145:V151" si="114">U145-T145</f>
        <v>3.5416666666666652E-2</v>
      </c>
      <c r="W145" s="141">
        <f>IF(V145="","",IF(SUM(V145-ref!E$38)&gt;0,0,IF(V145=0, "0:00", SUM(V145-ref!E$38))))</f>
        <v>0</v>
      </c>
      <c r="X145" s="136"/>
      <c r="Y145" s="92"/>
      <c r="Z145" s="247"/>
      <c r="AA145" s="142">
        <f>Z145-Y145</f>
        <v>0</v>
      </c>
      <c r="AB145" s="244" t="str">
        <f>IF(AA145="","",IF(SUM(AA145-ref!E$38)&gt;0,0,IF(AA145=0, "0:00", SUM(AA145-ref!E$38))))</f>
        <v>0:00</v>
      </c>
      <c r="AC145" s="29"/>
      <c r="AD145" s="106"/>
      <c r="AE145" s="111">
        <f>SUM(AF145:AF151)</f>
        <v>4</v>
      </c>
      <c r="AF145" s="77">
        <f t="shared" ref="AF145:AF151" si="115">IF(AND(H145&lt;&gt;"",J145&lt;&gt;""),1,0+OR(N(J144)&lt;N(H144),F145="récupération",F145="congé 1 jour",F145="congé 1/2 jour ",F145="congé 5h24",F145="arrêt maladie",F145="arrêt travail",F145="férié ",F145="congé parentale",F145="congé de naissance"))</f>
        <v>1</v>
      </c>
      <c r="AG145" s="19"/>
      <c r="AH145" s="176" t="s">
        <v>71</v>
      </c>
      <c r="AI145" s="54" t="s">
        <v>68</v>
      </c>
      <c r="AJ145" s="177" t="s">
        <v>72</v>
      </c>
      <c r="AK145" s="55" cm="1">
        <f t="array" ref="AK145">IF(ISNUMBER(G146),G146-_xlfn.AGGREGATE(14,6,(K$4:K145&lt;G146)*K$4:K145,1),"")</f>
        <v>0.67430555555620231</v>
      </c>
      <c r="AL145" s="20">
        <f>IF(ISNUMBER(AK145),ABS(IF(SUM(AK145-ref!E$9)&gt;0,0,SUM(AK145-ref!E$9))),"")</f>
        <v>0</v>
      </c>
      <c r="AQ145"/>
    </row>
    <row r="146" spans="2:43" x14ac:dyDescent="0.25">
      <c r="B146" s="79" t="s">
        <v>1</v>
      </c>
      <c r="C146" s="88" t="s">
        <v>20</v>
      </c>
      <c r="D146" s="88"/>
      <c r="E146" s="154">
        <f t="shared" ref="E146:E151" si="116">E145+1</f>
        <v>43929</v>
      </c>
      <c r="F146" s="159" t="s">
        <v>20</v>
      </c>
      <c r="G146" s="155">
        <f t="shared" si="112"/>
        <v>43929.388888888891</v>
      </c>
      <c r="H146" s="29">
        <v>0.3888888888888889</v>
      </c>
      <c r="I146" s="23">
        <f t="shared" ref="I146:I151" si="117">SUM(V146+AA146+AC146)</f>
        <v>3.3333333333333326E-2</v>
      </c>
      <c r="J146" s="29">
        <v>0.76041666666666663</v>
      </c>
      <c r="K146" s="46">
        <f t="shared" si="113"/>
        <v>43929.760416666664</v>
      </c>
      <c r="L146" s="21">
        <f>IF(OR(F146="télétravail",F146="férié travaillé",F146="travail"),(J146-H146+IF(H146&gt;J146,1)-I146),INDEX(ref!$E$22:'ref'!$E$37,MATCH(F146,gerald3,0)))</f>
        <v>0.33819444444444441</v>
      </c>
      <c r="M146" s="13">
        <f>IF(SUM(L146-ref!E$8)&lt;0,0,SUM(L146-ref!E$8))</f>
        <v>0</v>
      </c>
      <c r="N146" s="252">
        <f>L146-(hs!D145+hs!F145+hs!H145+hs!J145)</f>
        <v>-3.3333333333333326E-2</v>
      </c>
      <c r="O146" s="8">
        <f>IF(OR(F146="férié travaillé",F146="travail",F146="asa",F146="rtt"),J146-H146+IF(H146&gt;J146,1),INDEX(ref!$E$22:'ref'!$E$37,MATCH(F146,gerald2,0)))</f>
        <v>0.37152777777777773</v>
      </c>
      <c r="P146" s="14">
        <f>IF(SUM(O146-ref!E$4)&lt;0,0,SUM(O146-ref!E$4))</f>
        <v>0</v>
      </c>
      <c r="Q146" s="24">
        <f t="shared" ref="Q146:Q151" si="118">Q145+L146</f>
        <v>0.64374999999999982</v>
      </c>
      <c r="S146" s="137"/>
      <c r="T146" s="92">
        <v>0.53263888888888888</v>
      </c>
      <c r="U146" s="129">
        <v>0.56597222222222221</v>
      </c>
      <c r="V146" s="142">
        <f t="shared" si="114"/>
        <v>3.3333333333333326E-2</v>
      </c>
      <c r="W146" s="141">
        <f>IF(V146="","",IF(SUM(V146-ref!E$38)&gt;0,0,IF(V146=0, "0:00", SUM(V146-ref!E$38))))</f>
        <v>0</v>
      </c>
      <c r="X146" s="137"/>
      <c r="Y146" s="92"/>
      <c r="Z146" s="247"/>
      <c r="AA146" s="142">
        <f t="shared" ref="AA146:AA151" si="119">Z146-Y146</f>
        <v>0</v>
      </c>
      <c r="AB146" s="245" t="str">
        <f>IF(AA146="","",IF(SUM(AA146-ref!E$38)&gt;0,0,IF(AA146=0, "0:00", SUM(AA146-ref!E$38))))</f>
        <v>0:00</v>
      </c>
      <c r="AC146" s="29"/>
      <c r="AD146" s="106"/>
      <c r="AE146" s="112">
        <f>IF(SUM(AE145-ref!E$7)&lt;0,0,SUM(AE145-ref!E$7))</f>
        <v>0</v>
      </c>
      <c r="AF146" s="77">
        <f t="shared" si="115"/>
        <v>1</v>
      </c>
      <c r="AG146" s="19"/>
      <c r="AH146" s="178" t="s">
        <v>72</v>
      </c>
      <c r="AI146" s="54" t="s">
        <v>68</v>
      </c>
      <c r="AJ146" s="177" t="s">
        <v>73</v>
      </c>
      <c r="AK146" s="55" cm="1">
        <f t="array" ref="AK146">IF(ISNUMBER(G147),G147-_xlfn.AGGREGATE(14,6,(K$4:K146&lt;G147)*K$4:K146,1),"")</f>
        <v>0.61458333333575865</v>
      </c>
      <c r="AL146" s="20">
        <f>IF(ISNUMBER(AK146),ABS(IF(SUM(AK146-ref!E$9)&gt;0,0,SUM(AK146-ref!E$9))),"")</f>
        <v>0</v>
      </c>
      <c r="AQ146"/>
    </row>
    <row r="147" spans="2:43" x14ac:dyDescent="0.25">
      <c r="B147" s="80">
        <v>8</v>
      </c>
      <c r="C147" s="88" t="s">
        <v>20</v>
      </c>
      <c r="D147" s="88"/>
      <c r="E147" s="154">
        <f t="shared" si="116"/>
        <v>43930</v>
      </c>
      <c r="F147" s="159" t="s">
        <v>20</v>
      </c>
      <c r="G147" s="155">
        <f t="shared" si="112"/>
        <v>43930.375</v>
      </c>
      <c r="H147" s="29">
        <v>0.375</v>
      </c>
      <c r="I147" s="23">
        <f t="shared" si="117"/>
        <v>3.472222222222221E-2</v>
      </c>
      <c r="J147" s="29">
        <v>0.86805555555555547</v>
      </c>
      <c r="K147" s="46">
        <f t="shared" si="113"/>
        <v>43930.868055555555</v>
      </c>
      <c r="L147" s="21">
        <f>IF(OR(F147="télétravail",F147="férié travaillé",F147="travail"),(J147-H147+IF(H147&gt;J147,1)-I147),INDEX(ref!$E$22:'ref'!$E$37,MATCH(F147,gerald3,0)))</f>
        <v>0.45833333333333326</v>
      </c>
      <c r="M147" s="13">
        <f>IF(SUM(L147-ref!E$8)&lt;0,0,SUM(L147-ref!E$8))</f>
        <v>4.1666666666666574E-2</v>
      </c>
      <c r="N147" s="252">
        <f>L147-(hs!D146+hs!F146+hs!H146+hs!J146)</f>
        <v>-0.13194444444444431</v>
      </c>
      <c r="O147" s="8">
        <f>IF(OR(F147="férié travaillé",F147="travail",F147="asa",F147="rtt"),J147-H147+IF(H147&gt;J147,1),INDEX(ref!$E$22:'ref'!$E$37,MATCH(F147,gerald2,0)))</f>
        <v>0.49305555555555547</v>
      </c>
      <c r="P147" s="14">
        <f>IF(SUM(O147-ref!E$4)&lt;0,0,SUM(O147-ref!E$4))</f>
        <v>0</v>
      </c>
      <c r="Q147" s="24">
        <f t="shared" si="118"/>
        <v>1.1020833333333331</v>
      </c>
      <c r="S147" s="137"/>
      <c r="T147" s="92">
        <v>0.50694444444444442</v>
      </c>
      <c r="U147" s="129">
        <v>0.54166666666666663</v>
      </c>
      <c r="V147" s="142">
        <f t="shared" si="114"/>
        <v>3.472222222222221E-2</v>
      </c>
      <c r="W147" s="141">
        <f>IF(V147="","",IF(SUM(V147-ref!E$38)&gt;0,0,IF(V147=0, "0:00", SUM(V147-ref!E$38))))</f>
        <v>0</v>
      </c>
      <c r="X147" s="137"/>
      <c r="Y147" s="92"/>
      <c r="Z147" s="247"/>
      <c r="AA147" s="142">
        <f t="shared" si="119"/>
        <v>0</v>
      </c>
      <c r="AB147" s="245" t="str">
        <f>IF(AA147="","",IF(SUM(AA147-ref!E$38)&gt;0,0,IF(AA147=0, "0:00", SUM(AA147-ref!E$38))))</f>
        <v>0:00</v>
      </c>
      <c r="AC147" s="29"/>
      <c r="AD147" s="106"/>
      <c r="AE147" s="113" t="s">
        <v>29</v>
      </c>
      <c r="AF147" s="77">
        <f t="shared" si="115"/>
        <v>1</v>
      </c>
      <c r="AG147" s="19"/>
      <c r="AH147" s="178" t="s">
        <v>73</v>
      </c>
      <c r="AI147" s="54" t="s">
        <v>68</v>
      </c>
      <c r="AJ147" s="177" t="s">
        <v>74</v>
      </c>
      <c r="AK147" s="55" t="str" cm="1">
        <f t="array" ref="AK147">IF(ISNUMBER(G148),G148-_xlfn.AGGREGATE(14,6,(K$4:K147&lt;G148)*K$4:K147,1),"")</f>
        <v/>
      </c>
      <c r="AL147" s="20" t="str">
        <f>IF(ISNUMBER(AK147),ABS(IF(SUM(AK147-ref!E$9)&gt;0,0,SUM(AK147-ref!E$9))),"")</f>
        <v/>
      </c>
      <c r="AQ147"/>
    </row>
    <row r="148" spans="2:43" x14ac:dyDescent="0.25">
      <c r="B148" s="79" t="s">
        <v>58</v>
      </c>
      <c r="C148" s="88" t="s">
        <v>20</v>
      </c>
      <c r="D148" s="88"/>
      <c r="E148" s="154">
        <f t="shared" si="116"/>
        <v>43931</v>
      </c>
      <c r="F148" s="159" t="s">
        <v>108</v>
      </c>
      <c r="G148" s="155" t="str">
        <f t="shared" si="112"/>
        <v/>
      </c>
      <c r="H148" s="29"/>
      <c r="I148" s="23">
        <f t="shared" si="117"/>
        <v>0</v>
      </c>
      <c r="J148" s="29"/>
      <c r="K148" s="46" t="str">
        <f t="shared" si="113"/>
        <v/>
      </c>
      <c r="L148" s="21">
        <f>IF(OR(F148="télétravail",F148="férié travaillé",F148="travail"),(J148-H148+IF(H148&gt;J148,1)-I148),INDEX(ref!$E$22:'ref'!$E$37,MATCH(F148,gerald3,0)))</f>
        <v>0.29166666666666669</v>
      </c>
      <c r="M148" s="13">
        <f>IF(SUM(L148-ref!E$8)&lt;0,0,SUM(L148-ref!E$8))</f>
        <v>0</v>
      </c>
      <c r="N148" s="252">
        <f>L148-(hs!D147+hs!F147+hs!H147+hs!J147)</f>
        <v>0.29166666666666669</v>
      </c>
      <c r="O148" s="8" t="e">
        <f>IF(OR(F148="férié travaillé",F148="travail",F148="asa",F148="rtt"),J148-H148+IF(H148&gt;J148,1),INDEX(ref!$E$22:'ref'!$E$37,MATCH(F148,gerald2,0)))</f>
        <v>#N/A</v>
      </c>
      <c r="P148" s="14" t="e">
        <f>IF(SUM(O148-ref!E$4)&lt;0,0,SUM(O148-ref!E$4))</f>
        <v>#N/A</v>
      </c>
      <c r="Q148" s="24">
        <f t="shared" si="118"/>
        <v>1.3937499999999998</v>
      </c>
      <c r="S148" s="137"/>
      <c r="T148" s="92"/>
      <c r="U148" s="129"/>
      <c r="V148" s="142">
        <f>U148-T148</f>
        <v>0</v>
      </c>
      <c r="W148" s="141" t="str">
        <f>IF(V148="","",IF(SUM(V148-ref!E$38)&gt;0,0,IF(V148=0, "0:00", SUM(V148-ref!E$38))))</f>
        <v>0:00</v>
      </c>
      <c r="X148" s="137"/>
      <c r="Y148" s="92"/>
      <c r="Z148" s="247"/>
      <c r="AA148" s="142">
        <f t="shared" si="119"/>
        <v>0</v>
      </c>
      <c r="AB148" s="245" t="str">
        <f>IF(AA148="","",IF(SUM(AA148-ref!E$38)&gt;0,0,IF(AA148=0, "0:00", SUM(AA148-ref!E$38))))</f>
        <v>0:00</v>
      </c>
      <c r="AC148" s="29"/>
      <c r="AD148" s="106"/>
      <c r="AE148" s="114">
        <f>Q151</f>
        <v>1.7305555555555554</v>
      </c>
      <c r="AF148" s="77">
        <f t="shared" si="115"/>
        <v>0</v>
      </c>
      <c r="AG148" s="19"/>
      <c r="AH148" s="178" t="s">
        <v>74</v>
      </c>
      <c r="AI148" s="54" t="s">
        <v>68</v>
      </c>
      <c r="AJ148" s="177" t="s">
        <v>75</v>
      </c>
      <c r="AK148" s="55" cm="1">
        <f t="array" ref="AK148">IF(ISNUMBER(G149),G149-_xlfn.AGGREGATE(14,6,(K$4:K148&lt;G149)*K$4:K148,1),"")</f>
        <v>1.5034722222262644</v>
      </c>
      <c r="AL148" s="20">
        <f>IF(ISNUMBER(AK148),ABS(IF(SUM(AK148-ref!E$9)&gt;0,0,SUM(AK148-ref!E$9))),"")</f>
        <v>0</v>
      </c>
      <c r="AQ148"/>
    </row>
    <row r="149" spans="2:43" x14ac:dyDescent="0.25">
      <c r="B149" s="81">
        <v>4</v>
      </c>
      <c r="C149" s="88" t="s">
        <v>20</v>
      </c>
      <c r="D149" s="88"/>
      <c r="E149" s="154">
        <f t="shared" si="116"/>
        <v>43932</v>
      </c>
      <c r="F149" s="159" t="s">
        <v>20</v>
      </c>
      <c r="G149" s="155">
        <f t="shared" si="112"/>
        <v>43932.371527777781</v>
      </c>
      <c r="H149" s="29">
        <v>0.37152777777777773</v>
      </c>
      <c r="I149" s="23">
        <f t="shared" si="117"/>
        <v>2.430555555555558E-2</v>
      </c>
      <c r="J149" s="29">
        <v>0.73263888888888884</v>
      </c>
      <c r="K149" s="46">
        <f t="shared" si="113"/>
        <v>43932.732638888891</v>
      </c>
      <c r="L149" s="21">
        <f>IF(OR(F149="télétravail",F149="férié travaillé",F149="travail"),(J149-H149+IF(H149&gt;J149,1)-I149),INDEX(ref!$E$22:'ref'!$E$37,MATCH(F149,gerald3,0)))</f>
        <v>0.33680555555555552</v>
      </c>
      <c r="M149" s="13">
        <f>IF(SUM(L149-ref!E$8)&lt;0,0,SUM(L149-ref!E$8))</f>
        <v>0</v>
      </c>
      <c r="N149" s="252">
        <f>L149-(hs!D148+hs!F148+hs!H148+hs!J148)</f>
        <v>-2.430555555555558E-2</v>
      </c>
      <c r="O149" s="8">
        <f>IF(OR(F149="férié travaillé",F149="travail",F149="asa",F149="rtt"),J149-H149+IF(H149&gt;J149,1),INDEX(ref!$E$22:'ref'!$E$37,MATCH(F149,gerald2,0)))</f>
        <v>0.3611111111111111</v>
      </c>
      <c r="P149" s="14">
        <f>IF(SUM(O149-ref!E$4)&lt;0,0,SUM(O149-ref!E$4))</f>
        <v>0</v>
      </c>
      <c r="Q149" s="24">
        <f t="shared" si="118"/>
        <v>1.7305555555555554</v>
      </c>
      <c r="S149" s="137"/>
      <c r="T149" s="92">
        <v>0.56388888888888888</v>
      </c>
      <c r="U149" s="129">
        <v>0.58819444444444446</v>
      </c>
      <c r="V149" s="142">
        <f>U149-T149</f>
        <v>2.430555555555558E-2</v>
      </c>
      <c r="W149" s="141">
        <f>IF(V149="","",IF(SUM(V149-ref!E$38)&gt;0,0,IF(V149=0, "0:00", SUM(V149-ref!E$38))))</f>
        <v>-6.9444444444444198E-3</v>
      </c>
      <c r="X149" s="137"/>
      <c r="Y149" s="92"/>
      <c r="Z149" s="247"/>
      <c r="AA149" s="142">
        <f t="shared" si="119"/>
        <v>0</v>
      </c>
      <c r="AB149" s="245" t="str">
        <f>IF(AA149="","",IF(SUM(AA149-ref!E$38)&gt;0,0,IF(AA149=0, "0:00", SUM(AA149-ref!E$38))))</f>
        <v>0:00</v>
      </c>
      <c r="AC149" s="29"/>
      <c r="AD149" s="106"/>
      <c r="AE149" s="117" t="s">
        <v>47</v>
      </c>
      <c r="AF149" s="77">
        <f t="shared" si="115"/>
        <v>1</v>
      </c>
      <c r="AG149" s="19"/>
      <c r="AH149" s="178" t="s">
        <v>75</v>
      </c>
      <c r="AI149" s="54" t="s">
        <v>68</v>
      </c>
      <c r="AJ149" s="177" t="s">
        <v>76</v>
      </c>
      <c r="AK149" s="55" t="str" cm="1">
        <f t="array" ref="AK149">IF(ISNUMBER(G150),G150-_xlfn.AGGREGATE(14,6,(K$4:K149&lt;G150)*K$4:K149,1),"")</f>
        <v/>
      </c>
      <c r="AL149" s="20" t="str">
        <f>IF(ISNUMBER(AK149),ABS(IF(SUM(AK149-ref!E$9)&gt;0,0,SUM(AK149-ref!E$9))),"")</f>
        <v/>
      </c>
      <c r="AQ149"/>
    </row>
    <row r="150" spans="2:43" ht="15.75" thickBot="1" x14ac:dyDescent="0.3">
      <c r="B150"/>
      <c r="C150"/>
      <c r="D150"/>
      <c r="E150" s="154">
        <f t="shared" si="116"/>
        <v>43933</v>
      </c>
      <c r="F150" s="159" t="s">
        <v>19</v>
      </c>
      <c r="G150" s="155" t="str">
        <f t="shared" si="112"/>
        <v/>
      </c>
      <c r="H150" s="29"/>
      <c r="I150" s="23">
        <f t="shared" si="117"/>
        <v>0</v>
      </c>
      <c r="J150" s="29"/>
      <c r="K150" s="46" t="str">
        <f t="shared" si="113"/>
        <v/>
      </c>
      <c r="L150" s="21">
        <f>IF(OR(F150="télétravail",F150="férié travaillé",F150="travail"),(J150-H150+IF(H150&gt;J150,1)-I150),INDEX(ref!$E$22:'ref'!$E$37,MATCH(F150,gerald3,0)))</f>
        <v>0</v>
      </c>
      <c r="M150" s="13">
        <f>IF(SUM(L150-ref!E$8)&lt;0,0,SUM(L150-ref!E$8))</f>
        <v>0</v>
      </c>
      <c r="N150" s="252">
        <f>L150-(hs!D149+hs!F149+hs!H149+hs!J149)</f>
        <v>0</v>
      </c>
      <c r="O150" s="8">
        <f>IF(OR(F150="férié travaillé",F150="travail",F150="asa",F150="rtt"),J150-H150+IF(H150&gt;J150,1),INDEX(ref!$E$22:'ref'!$E$37,MATCH(F150,gerald2,0)))</f>
        <v>0</v>
      </c>
      <c r="P150" s="14">
        <f>IF(SUM(O150-ref!E$4)&lt;0,0,SUM(O150-ref!E$4))</f>
        <v>0</v>
      </c>
      <c r="Q150" s="97">
        <f t="shared" si="118"/>
        <v>1.7305555555555554</v>
      </c>
      <c r="S150" s="137"/>
      <c r="T150" s="92"/>
      <c r="U150" s="129"/>
      <c r="V150" s="142">
        <f t="shared" si="114"/>
        <v>0</v>
      </c>
      <c r="W150" s="141" t="str">
        <f>IF(V150="","",IF(SUM(V150-ref!E$38)&gt;0,0,IF(V150=0, "0:00", SUM(V150-ref!E$38))))</f>
        <v>0:00</v>
      </c>
      <c r="X150" s="137"/>
      <c r="Y150" s="92"/>
      <c r="Z150" s="247"/>
      <c r="AA150" s="142">
        <f t="shared" si="119"/>
        <v>0</v>
      </c>
      <c r="AB150" s="245" t="str">
        <f>IF(AA150="","",IF(SUM(AA150-ref!E$38)&gt;0,0,IF(AA150=0, "0:00", SUM(AA150-ref!E$38))))</f>
        <v>0:00</v>
      </c>
      <c r="AC150" s="29"/>
      <c r="AD150" s="106"/>
      <c r="AE150" s="118">
        <f>ref!E$11</f>
        <v>2</v>
      </c>
      <c r="AF150" s="77">
        <f t="shared" si="115"/>
        <v>0</v>
      </c>
      <c r="AG150" s="19"/>
      <c r="AH150" s="178" t="s">
        <v>76</v>
      </c>
      <c r="AI150" s="54" t="s">
        <v>68</v>
      </c>
      <c r="AJ150" s="177" t="s">
        <v>77</v>
      </c>
      <c r="AK150" s="55" t="str" cm="1">
        <f t="array" ref="AK150">IF(ISNUMBER(G151),G151-_xlfn.AGGREGATE(14,6,(K$4:K150&lt;G151)*K$4:K150,1),"")</f>
        <v/>
      </c>
      <c r="AL150" s="20" t="str">
        <f>IF(ISNUMBER(AK150),ABS(IF(SUM(AK150-ref!E$9)&gt;0,0,SUM(AK150-ref!E$9))),"")</f>
        <v/>
      </c>
      <c r="AQ150"/>
    </row>
    <row r="151" spans="2:43" ht="15.75" thickBot="1" x14ac:dyDescent="0.3">
      <c r="B151"/>
      <c r="C151"/>
      <c r="D151"/>
      <c r="E151" s="154">
        <f t="shared" si="116"/>
        <v>43934</v>
      </c>
      <c r="F151" s="160" t="s">
        <v>19</v>
      </c>
      <c r="G151" s="155" t="str">
        <f t="shared" si="112"/>
        <v/>
      </c>
      <c r="H151" s="29"/>
      <c r="I151" s="23">
        <f t="shared" si="117"/>
        <v>0</v>
      </c>
      <c r="J151" s="29"/>
      <c r="K151" s="46" t="str">
        <f t="shared" si="113"/>
        <v/>
      </c>
      <c r="L151" s="21">
        <f>IF(OR(F151="télétravail",F151="férié travaillé",F151="travail"),(J151-H151+IF(H151&gt;J151,1)-I151),INDEX(ref!$E$22:'ref'!$E$37,MATCH(F151,gerald3,0)))</f>
        <v>0</v>
      </c>
      <c r="M151" s="13">
        <f>IF(SUM(L151-ref!E$8)&lt;0,0,SUM(L151-ref!E$8))</f>
        <v>0</v>
      </c>
      <c r="N151" s="252">
        <f>L151-(hs!D150+hs!F150+hs!H150+hs!J150)</f>
        <v>0</v>
      </c>
      <c r="O151" s="8">
        <f>IF(OR(F151="férié travaillé",F151="travail",F151="asa",F151="rtt"),J151-H151+IF(H151&gt;J151,1),INDEX(ref!$E$22:'ref'!$E$37,MATCH(F151,gerald2,0)))</f>
        <v>0</v>
      </c>
      <c r="P151" s="14">
        <f>IF(SUM(O151-ref!E$4)&lt;0,0,SUM(O151-ref!E$4))</f>
        <v>0</v>
      </c>
      <c r="Q151" s="94">
        <f t="shared" si="118"/>
        <v>1.7305555555555554</v>
      </c>
      <c r="S151" s="138"/>
      <c r="T151" s="92"/>
      <c r="U151" s="129"/>
      <c r="V151" s="142">
        <f t="shared" si="114"/>
        <v>0</v>
      </c>
      <c r="W151" s="141" t="str">
        <f>IF(V151="","",IF(SUM(V151-ref!E$38)&gt;0,0,IF(V151=0, "0:00", SUM(V151-ref!E$38))))</f>
        <v>0:00</v>
      </c>
      <c r="X151" s="138"/>
      <c r="Y151" s="92"/>
      <c r="Z151" s="247"/>
      <c r="AA151" s="142">
        <f t="shared" si="119"/>
        <v>0</v>
      </c>
      <c r="AB151" s="246" t="str">
        <f>IF(AA151="","",IF(SUM(AA151-ref!E$38)&gt;0,0,IF(AA151=0, "0:00", SUM(AA151-ref!E$38))))</f>
        <v>0:00</v>
      </c>
      <c r="AC151" s="29"/>
      <c r="AD151" s="106"/>
      <c r="AE151" s="110">
        <f>IF(SUM(Q151-ref!E$11)&lt;0,0,SUM(Q151-ref!E$11))</f>
        <v>0</v>
      </c>
      <c r="AF151" s="77">
        <f t="shared" si="115"/>
        <v>0</v>
      </c>
      <c r="AG151" s="19"/>
      <c r="AQ151"/>
    </row>
    <row r="152" spans="2:43" x14ac:dyDescent="0.25">
      <c r="F152" s="157"/>
      <c r="W152" s="74"/>
      <c r="X152" s="2"/>
      <c r="Z152"/>
      <c r="AA152" s="2"/>
      <c r="AB152" s="2"/>
      <c r="AC152" s="127"/>
      <c r="AQ152"/>
    </row>
    <row r="153" spans="2:43" x14ac:dyDescent="0.25">
      <c r="F153" s="157"/>
      <c r="X153" s="2"/>
      <c r="Z153"/>
      <c r="AA153" s="2"/>
      <c r="AB153" s="2"/>
      <c r="AC153" s="127"/>
      <c r="AQ153"/>
    </row>
    <row r="154" spans="2:43" ht="15.75" thickBot="1" x14ac:dyDescent="0.3">
      <c r="F154" s="157"/>
      <c r="W154" s="74"/>
      <c r="X154" s="2"/>
      <c r="Z154"/>
      <c r="AA154" s="2"/>
      <c r="AB154" s="2"/>
      <c r="AC154" s="127"/>
      <c r="AQ154"/>
    </row>
    <row r="155" spans="2:43" x14ac:dyDescent="0.25">
      <c r="B155" s="78" t="s">
        <v>1</v>
      </c>
      <c r="C155" s="85" t="s">
        <v>90</v>
      </c>
      <c r="D155" s="85"/>
      <c r="E155" s="154">
        <f>DATE(ref!E$2,B159,B157)</f>
        <v>43935</v>
      </c>
      <c r="F155" s="158" t="s">
        <v>60</v>
      </c>
      <c r="G155" s="155" t="str">
        <f t="shared" ref="G155:G161" si="120">IF(AND(J155="",H155=""),"",E155+H155)</f>
        <v/>
      </c>
      <c r="H155" s="29"/>
      <c r="I155" s="23">
        <f>SUM(V155+AA155+AC155)</f>
        <v>0</v>
      </c>
      <c r="J155" s="29"/>
      <c r="K155" s="46" t="str">
        <f t="shared" ref="K155:K161" si="121">IF(AND(H155="",J155=""),"",E155+J155+(H155&gt;J155))</f>
        <v/>
      </c>
      <c r="L155" s="21">
        <f>IF(OR(F155="télétravail",F155="férié travaillé",F155="travail"),(J155-H155+IF(H155&gt;J155,1)-I155),INDEX(ref!$E$22:'ref'!$E$37,MATCH(F155,gerald3,0)))</f>
        <v>0.29166666666666669</v>
      </c>
      <c r="M155" s="13">
        <f>IF(SUM(L155-ref!E$8)&lt;0,0,SUM(L155-ref!E$8))</f>
        <v>0</v>
      </c>
      <c r="N155" s="252">
        <f>L155-(hs!D154+hs!F154+hs!H154+hs!J154)</f>
        <v>0.29166666666666669</v>
      </c>
      <c r="O155" s="8">
        <f>IF(OR(F155="férié travaillé",F155="travail",F155="asa",F155="rtt"),J155-H155+IF(H155&gt;J155,1),INDEX(ref!$E$22:'ref'!$E$37,MATCH(F155,gerald2,0)))</f>
        <v>0</v>
      </c>
      <c r="P155" s="14">
        <f>IF(SUM(O155-ref!E$4)&lt;0,0,SUM(O155-ref!E$4))</f>
        <v>0</v>
      </c>
      <c r="Q155" s="21">
        <f>L155</f>
        <v>0.29166666666666669</v>
      </c>
      <c r="S155" s="136"/>
      <c r="T155" s="92"/>
      <c r="U155" s="129"/>
      <c r="V155" s="142"/>
      <c r="W155" s="141" t="str">
        <f>IF(V155="","",IF(SUM(V155-ref!E$38)&gt;0,0,IF(V155=0, "0:00", SUM(V155-ref!E$38))))</f>
        <v/>
      </c>
      <c r="X155" s="136"/>
      <c r="Y155" s="92"/>
      <c r="Z155" s="247"/>
      <c r="AA155" s="142">
        <f>Z155-Y155</f>
        <v>0</v>
      </c>
      <c r="AB155" s="244" t="str">
        <f>IF(AA155="","",IF(SUM(AA155-ref!E$38)&gt;0,0,IF(AA155=0, "0:00", SUM(AA155-ref!E$38))))</f>
        <v>0:00</v>
      </c>
      <c r="AC155" s="29"/>
      <c r="AD155" s="106"/>
      <c r="AE155" s="111">
        <f>SUM(AF155:AF161)</f>
        <v>0</v>
      </c>
      <c r="AF155" s="77">
        <f>IF(AND(H155&lt;&gt;"",J155&lt;&gt;""),1,0+OR(N(J162)&lt;N(H162),F155="récupération",F155="congé 1 jour",F155="congé 1/2 jour ",F155="congé 5h24",F155="arrêt maladie",F155="arrêt travail",F155="férié ",F155="congé parentale",F155="congé de naissance"))</f>
        <v>0</v>
      </c>
      <c r="AG155" s="19"/>
      <c r="AH155" s="176" t="s">
        <v>71</v>
      </c>
      <c r="AI155" s="54" t="s">
        <v>68</v>
      </c>
      <c r="AJ155" s="177" t="s">
        <v>72</v>
      </c>
      <c r="AK155" s="55" t="str" cm="1">
        <f t="array" ref="AK155">IF(ISNUMBER(G156),G156-_xlfn.AGGREGATE(14,6,(K$4:K155&lt;G156)*K$4:K155,1),"")</f>
        <v/>
      </c>
      <c r="AL155" s="20" t="str">
        <f>IF(ISNUMBER(AK155),ABS(IF(SUM(AK155-ref!E$9)&gt;0,0,SUM(AK155-ref!E$9))),"")</f>
        <v/>
      </c>
      <c r="AQ155"/>
    </row>
    <row r="156" spans="2:43" x14ac:dyDescent="0.25">
      <c r="B156" s="79" t="s">
        <v>1</v>
      </c>
      <c r="C156" s="85" t="s">
        <v>90</v>
      </c>
      <c r="D156" s="85"/>
      <c r="E156" s="154">
        <f t="shared" ref="E156:E161" si="122">E155+1</f>
        <v>43936</v>
      </c>
      <c r="F156" s="159" t="s">
        <v>60</v>
      </c>
      <c r="G156" s="155" t="str">
        <f t="shared" si="120"/>
        <v/>
      </c>
      <c r="H156" s="29"/>
      <c r="I156" s="23">
        <f t="shared" ref="I156:I161" si="123">SUM(V156+AA156+AC156)</f>
        <v>0</v>
      </c>
      <c r="J156" s="29"/>
      <c r="K156" s="46" t="str">
        <f t="shared" si="121"/>
        <v/>
      </c>
      <c r="L156" s="21">
        <f>IF(OR(F156="télétravail",F156="férié travaillé",F156="travail"),(J156-H156+IF(H156&gt;J156,1)-I156),INDEX(ref!$E$22:'ref'!$E$37,MATCH(F156,gerald3,0)))</f>
        <v>0.29166666666666669</v>
      </c>
      <c r="M156" s="13">
        <f>IF(SUM(L156-ref!E$8)&lt;0,0,SUM(L156-ref!E$8))</f>
        <v>0</v>
      </c>
      <c r="N156" s="252">
        <f>L156-(hs!D155+hs!F155+hs!H155+hs!J155)</f>
        <v>0.29166666666666669</v>
      </c>
      <c r="O156" s="8">
        <f>IF(OR(F156="férié travaillé",F156="travail",F156="asa",F156="rtt"),J156-H156+IF(H156&gt;J156,1),INDEX(ref!$E$22:'ref'!$E$37,MATCH(F156,gerald2,0)))</f>
        <v>0</v>
      </c>
      <c r="P156" s="14">
        <f>IF(SUM(O156-ref!E$4)&lt;0,0,SUM(O156-ref!E$4))</f>
        <v>0</v>
      </c>
      <c r="Q156" s="24">
        <f t="shared" ref="Q156:Q161" si="124">Q155+L156</f>
        <v>0.58333333333333337</v>
      </c>
      <c r="S156" s="137"/>
      <c r="T156" s="92"/>
      <c r="U156" s="129"/>
      <c r="V156" s="142"/>
      <c r="W156" s="141" t="str">
        <f>IF(V156="","",IF(SUM(V156-ref!E$38)&gt;0,0,IF(V156=0, "0:00", SUM(V156-ref!E$38))))</f>
        <v/>
      </c>
      <c r="X156" s="137"/>
      <c r="Y156" s="92"/>
      <c r="Z156" s="247"/>
      <c r="AA156" s="142">
        <f t="shared" ref="AA156:AA161" si="125">Z156-Y156</f>
        <v>0</v>
      </c>
      <c r="AB156" s="245" t="str">
        <f>IF(AA156="","",IF(SUM(AA156-ref!E$38)&gt;0,0,IF(AA156=0, "0:00", SUM(AA156-ref!E$38))))</f>
        <v>0:00</v>
      </c>
      <c r="AC156" s="29"/>
      <c r="AD156" s="106"/>
      <c r="AE156" s="112">
        <f>IF(SUM(AE155-ref!E$7)&lt;0,0,SUM(AE155-ref!E$7))</f>
        <v>0</v>
      </c>
      <c r="AF156" s="77">
        <f t="shared" ref="AF156:AF161" si="126">IF(AND(H156&lt;&gt;"",J156&lt;&gt;""),1,0+OR(N(J155)&lt;N(H155),F156="récupération",F156="congé 1 jour",F156="congé 1/2 jour ",F156="congé 5h24",F156="arrêt maladie",F156="arrêt travail",F156="férié ",F156="congé parentale",F156="congé de naissance"))</f>
        <v>0</v>
      </c>
      <c r="AG156" s="19"/>
      <c r="AH156" s="178" t="s">
        <v>72</v>
      </c>
      <c r="AI156" s="54" t="s">
        <v>68</v>
      </c>
      <c r="AJ156" s="177" t="s">
        <v>73</v>
      </c>
      <c r="AK156" s="55" t="str" cm="1">
        <f t="array" ref="AK156">IF(ISNUMBER(G157),G157-_xlfn.AGGREGATE(14,6,(K$4:K156&lt;G157)*K$4:K156,1),"")</f>
        <v/>
      </c>
      <c r="AL156" s="20" t="str">
        <f>IF(ISNUMBER(AK156),ABS(IF(SUM(AK156-ref!E$9)&gt;0,0,SUM(AK156-ref!E$9))),"")</f>
        <v/>
      </c>
      <c r="AQ156"/>
    </row>
    <row r="157" spans="2:43" x14ac:dyDescent="0.25">
      <c r="B157" s="80">
        <v>15</v>
      </c>
      <c r="C157" s="85" t="s">
        <v>90</v>
      </c>
      <c r="D157" s="85"/>
      <c r="E157" s="154">
        <f t="shared" si="122"/>
        <v>43937</v>
      </c>
      <c r="F157" s="159" t="s">
        <v>60</v>
      </c>
      <c r="G157" s="155" t="str">
        <f t="shared" si="120"/>
        <v/>
      </c>
      <c r="H157" s="29"/>
      <c r="I157" s="23">
        <f t="shared" si="123"/>
        <v>0</v>
      </c>
      <c r="J157" s="29"/>
      <c r="K157" s="46" t="str">
        <f t="shared" si="121"/>
        <v/>
      </c>
      <c r="L157" s="21">
        <f>IF(OR(F157="télétravail",F157="férié travaillé",F157="travail"),(J157-H157+IF(H157&gt;J157,1)-I157),INDEX(ref!$E$22:'ref'!$E$37,MATCH(F157,gerald3,0)))</f>
        <v>0.29166666666666669</v>
      </c>
      <c r="M157" s="13">
        <f>IF(SUM(L157-ref!E$8)&lt;0,0,SUM(L157-ref!E$8))</f>
        <v>0</v>
      </c>
      <c r="N157" s="252">
        <f>L157-(hs!D156+hs!F156+hs!H156+hs!J156)</f>
        <v>0.29166666666666669</v>
      </c>
      <c r="O157" s="8">
        <f>IF(OR(F157="férié travaillé",F157="travail",F157="asa",F157="rtt"),J157-H157+IF(H157&gt;J157,1),INDEX(ref!$E$22:'ref'!$E$37,MATCH(F157,gerald2,0)))</f>
        <v>0</v>
      </c>
      <c r="P157" s="14">
        <f>IF(SUM(O157-ref!E$4)&lt;0,0,SUM(O157-ref!E$4))</f>
        <v>0</v>
      </c>
      <c r="Q157" s="24">
        <f t="shared" si="124"/>
        <v>0.875</v>
      </c>
      <c r="S157" s="137"/>
      <c r="T157" s="92"/>
      <c r="U157" s="129"/>
      <c r="V157" s="142"/>
      <c r="W157" s="141" t="str">
        <f>IF(V157="","",IF(SUM(V157-ref!E$38)&gt;0,0,IF(V157=0, "0:00", SUM(V157-ref!E$38))))</f>
        <v/>
      </c>
      <c r="X157" s="137"/>
      <c r="Y157" s="92"/>
      <c r="Z157" s="247"/>
      <c r="AA157" s="142">
        <f t="shared" si="125"/>
        <v>0</v>
      </c>
      <c r="AB157" s="245" t="str">
        <f>IF(AA157="","",IF(SUM(AA157-ref!E$38)&gt;0,0,IF(AA157=0, "0:00", SUM(AA157-ref!E$38))))</f>
        <v>0:00</v>
      </c>
      <c r="AC157" s="29"/>
      <c r="AD157" s="106"/>
      <c r="AE157" s="113" t="s">
        <v>29</v>
      </c>
      <c r="AF157" s="77">
        <f t="shared" si="126"/>
        <v>0</v>
      </c>
      <c r="AG157" s="19"/>
      <c r="AH157" s="178" t="s">
        <v>73</v>
      </c>
      <c r="AI157" s="54" t="s">
        <v>68</v>
      </c>
      <c r="AJ157" s="177" t="s">
        <v>74</v>
      </c>
      <c r="AK157" s="55" t="str" cm="1">
        <f t="array" ref="AK157">IF(ISNUMBER(G158),G158-_xlfn.AGGREGATE(14,6,(K$4:K157&lt;G158)*K$4:K157,1),"")</f>
        <v/>
      </c>
      <c r="AL157" s="20" t="str">
        <f>IF(ISNUMBER(AK157),ABS(IF(SUM(AK157-ref!E$9)&gt;0,0,SUM(AK157-ref!E$9))),"")</f>
        <v/>
      </c>
      <c r="AQ157"/>
    </row>
    <row r="158" spans="2:43" x14ac:dyDescent="0.25">
      <c r="B158" s="79" t="s">
        <v>70</v>
      </c>
      <c r="C158" s="85" t="s">
        <v>90</v>
      </c>
      <c r="D158" s="85"/>
      <c r="E158" s="154">
        <f t="shared" si="122"/>
        <v>43938</v>
      </c>
      <c r="F158" s="159" t="s">
        <v>60</v>
      </c>
      <c r="G158" s="155" t="str">
        <f t="shared" si="120"/>
        <v/>
      </c>
      <c r="H158" s="29"/>
      <c r="I158" s="23">
        <f t="shared" si="123"/>
        <v>0</v>
      </c>
      <c r="J158" s="29"/>
      <c r="K158" s="46" t="str">
        <f t="shared" si="121"/>
        <v/>
      </c>
      <c r="L158" s="21">
        <f>IF(OR(F158="télétravail",F158="férié travaillé",F158="travail"),(J158-H158+IF(H158&gt;J158,1)-I158),INDEX(ref!$E$22:'ref'!$E$37,MATCH(F158,gerald3,0)))</f>
        <v>0.29166666666666669</v>
      </c>
      <c r="M158" s="13">
        <f>IF(SUM(L158-ref!E$8)&lt;0,0,SUM(L158-ref!E$8))</f>
        <v>0</v>
      </c>
      <c r="N158" s="252">
        <f>L158-(hs!D157+hs!F157+hs!H157+hs!J157)</f>
        <v>0.29166666666666669</v>
      </c>
      <c r="O158" s="8">
        <f>IF(OR(F158="férié travaillé",F158="travail",F158="asa",F158="rtt"),J158-H158+IF(H158&gt;J158,1),INDEX(ref!$E$22:'ref'!$E$37,MATCH(F158,gerald2,0)))</f>
        <v>0</v>
      </c>
      <c r="P158" s="14">
        <f>IF(SUM(O158-ref!E$4)&lt;0,0,SUM(O158-ref!E$4))</f>
        <v>0</v>
      </c>
      <c r="Q158" s="24">
        <f t="shared" si="124"/>
        <v>1.1666666666666667</v>
      </c>
      <c r="S158" s="137"/>
      <c r="T158" s="92"/>
      <c r="U158" s="129"/>
      <c r="V158" s="142"/>
      <c r="W158" s="141" t="str">
        <f>IF(V158="","",IF(SUM(V158-ref!E$38)&gt;0,0,IF(V158=0, "0:00", SUM(V158-ref!E$38))))</f>
        <v/>
      </c>
      <c r="X158" s="137"/>
      <c r="Y158" s="92"/>
      <c r="Z158" s="247"/>
      <c r="AA158" s="142">
        <f t="shared" si="125"/>
        <v>0</v>
      </c>
      <c r="AB158" s="245" t="str">
        <f>IF(AA158="","",IF(SUM(AA158-ref!E$38)&gt;0,0,IF(AA158=0, "0:00", SUM(AA158-ref!E$38))))</f>
        <v>0:00</v>
      </c>
      <c r="AC158" s="29"/>
      <c r="AD158" s="106"/>
      <c r="AE158" s="114">
        <f>Q161</f>
        <v>1.4583333333333335</v>
      </c>
      <c r="AF158" s="77">
        <f t="shared" si="126"/>
        <v>0</v>
      </c>
      <c r="AG158" s="19"/>
      <c r="AH158" s="178" t="s">
        <v>74</v>
      </c>
      <c r="AI158" s="54" t="s">
        <v>68</v>
      </c>
      <c r="AJ158" s="177" t="s">
        <v>75</v>
      </c>
      <c r="AK158" s="55" t="str" cm="1">
        <f t="array" ref="AK158">IF(ISNUMBER(G159),G159-_xlfn.AGGREGATE(14,6,(K$4:K158&lt;G159)*K$4:K158,1),"")</f>
        <v/>
      </c>
      <c r="AL158" s="20" t="str">
        <f>IF(ISNUMBER(AK158),ABS(IF(SUM(AK158-ref!E$9)&gt;0,0,SUM(AK158-ref!E$9))),"")</f>
        <v/>
      </c>
      <c r="AQ158"/>
    </row>
    <row r="159" spans="2:43" x14ac:dyDescent="0.25">
      <c r="B159" s="81">
        <v>4</v>
      </c>
      <c r="C159" s="86" t="s">
        <v>90</v>
      </c>
      <c r="D159" s="86"/>
      <c r="E159" s="154">
        <f t="shared" si="122"/>
        <v>43939</v>
      </c>
      <c r="F159" s="159" t="s">
        <v>60</v>
      </c>
      <c r="G159" s="155" t="str">
        <f t="shared" si="120"/>
        <v/>
      </c>
      <c r="H159" s="29"/>
      <c r="I159" s="23">
        <f t="shared" si="123"/>
        <v>0</v>
      </c>
      <c r="J159" s="29"/>
      <c r="K159" s="46" t="str">
        <f t="shared" si="121"/>
        <v/>
      </c>
      <c r="L159" s="21">
        <f>IF(OR(F159="télétravail",F159="férié travaillé",F159="travail"),(J159-H159+IF(H159&gt;J159,1)-I159),INDEX(ref!$E$22:'ref'!$E$37,MATCH(F159,gerald3,0)))</f>
        <v>0.29166666666666669</v>
      </c>
      <c r="M159" s="13">
        <f>IF(SUM(L159-ref!E$8)&lt;0,0,SUM(L159-ref!E$8))</f>
        <v>0</v>
      </c>
      <c r="N159" s="252">
        <f>L159-(hs!D158+hs!F158+hs!H158+hs!J158)</f>
        <v>0.29166666666666669</v>
      </c>
      <c r="O159" s="8">
        <f>IF(OR(F159="férié travaillé",F159="travail",F159="asa",F159="rtt"),J159-H159+IF(H159&gt;J159,1),INDEX(ref!$E$22:'ref'!$E$37,MATCH(F159,gerald2,0)))</f>
        <v>0</v>
      </c>
      <c r="P159" s="14">
        <f>IF(SUM(O159-ref!E$4)&lt;0,0,SUM(O159-ref!E$4))</f>
        <v>0</v>
      </c>
      <c r="Q159" s="24">
        <f t="shared" si="124"/>
        <v>1.4583333333333335</v>
      </c>
      <c r="S159" s="137"/>
      <c r="T159" s="92"/>
      <c r="U159" s="129"/>
      <c r="V159" s="142"/>
      <c r="W159" s="141" t="str">
        <f>IF(V159="","",IF(SUM(V159-ref!E$38)&gt;0,0,IF(V159=0, "0:00", SUM(V159-ref!E$38))))</f>
        <v/>
      </c>
      <c r="X159" s="137"/>
      <c r="Y159" s="92"/>
      <c r="Z159" s="247"/>
      <c r="AA159" s="142">
        <f t="shared" si="125"/>
        <v>0</v>
      </c>
      <c r="AB159" s="245" t="str">
        <f>IF(AA159="","",IF(SUM(AA159-ref!E$38)&gt;0,0,IF(AA159=0, "0:00", SUM(AA159-ref!E$38))))</f>
        <v>0:00</v>
      </c>
      <c r="AC159" s="29"/>
      <c r="AD159" s="106"/>
      <c r="AE159" s="117" t="s">
        <v>47</v>
      </c>
      <c r="AF159" s="77">
        <f t="shared" si="126"/>
        <v>0</v>
      </c>
      <c r="AG159" s="19"/>
      <c r="AH159" s="178" t="s">
        <v>75</v>
      </c>
      <c r="AI159" s="54" t="s">
        <v>68</v>
      </c>
      <c r="AJ159" s="177" t="s">
        <v>76</v>
      </c>
      <c r="AK159" s="55" t="str" cm="1">
        <f t="array" ref="AK159">IF(ISNUMBER(G160),G160-_xlfn.AGGREGATE(14,6,(K$4:K159&lt;G160)*K$4:K159,1),"")</f>
        <v/>
      </c>
      <c r="AL159" s="20" t="str">
        <f>IF(ISNUMBER(AK159),ABS(IF(SUM(AK159-ref!E$9)&gt;0,0,SUM(AK159-ref!E$9))),"")</f>
        <v/>
      </c>
      <c r="AQ159"/>
    </row>
    <row r="160" spans="2:43" ht="15.75" thickBot="1" x14ac:dyDescent="0.3">
      <c r="B160"/>
      <c r="C160"/>
      <c r="D160"/>
      <c r="E160" s="154">
        <f t="shared" si="122"/>
        <v>43940</v>
      </c>
      <c r="F160" s="159" t="s">
        <v>19</v>
      </c>
      <c r="G160" s="155" t="str">
        <f t="shared" si="120"/>
        <v/>
      </c>
      <c r="H160" s="29"/>
      <c r="I160" s="23">
        <f t="shared" si="123"/>
        <v>0</v>
      </c>
      <c r="J160" s="29"/>
      <c r="K160" s="46" t="str">
        <f t="shared" si="121"/>
        <v/>
      </c>
      <c r="L160" s="21">
        <f>IF(OR(F160="télétravail",F160="férié travaillé",F160="travail"),(J160-H160+IF(H160&gt;J160,1)-I160),INDEX(ref!$E$22:'ref'!$E$37,MATCH(F160,gerald3,0)))</f>
        <v>0</v>
      </c>
      <c r="M160" s="13">
        <f>IF(SUM(L160-ref!E$8)&lt;0,0,SUM(L160-ref!E$8))</f>
        <v>0</v>
      </c>
      <c r="N160" s="252">
        <f>L160-(hs!D159+hs!F159+hs!H159+hs!J159)</f>
        <v>0</v>
      </c>
      <c r="O160" s="8">
        <f>IF(OR(F160="férié travaillé",F160="travail",F160="asa",F160="rtt"),J160-H160+IF(H160&gt;J160,1),INDEX(ref!$E$22:'ref'!$E$37,MATCH(F160,gerald2,0)))</f>
        <v>0</v>
      </c>
      <c r="P160" s="14">
        <f>IF(SUM(O160-ref!E$4)&lt;0,0,SUM(O160-ref!E$4))</f>
        <v>0</v>
      </c>
      <c r="Q160" s="97">
        <f t="shared" si="124"/>
        <v>1.4583333333333335</v>
      </c>
      <c r="S160" s="137"/>
      <c r="T160" s="92"/>
      <c r="U160" s="129"/>
      <c r="V160" s="142"/>
      <c r="W160" s="141" t="str">
        <f>IF(V160="","",IF(SUM(V160-ref!E$38)&gt;0,0,IF(V160=0, "0:00", SUM(V160-ref!E$38))))</f>
        <v/>
      </c>
      <c r="X160" s="137"/>
      <c r="Y160" s="92"/>
      <c r="Z160" s="247"/>
      <c r="AA160" s="142">
        <f t="shared" si="125"/>
        <v>0</v>
      </c>
      <c r="AB160" s="245" t="str">
        <f>IF(AA160="","",IF(SUM(AA160-ref!E$38)&gt;0,0,IF(AA160=0, "0:00", SUM(AA160-ref!E$38))))</f>
        <v>0:00</v>
      </c>
      <c r="AC160" s="29"/>
      <c r="AD160" s="106"/>
      <c r="AE160" s="118">
        <f>ref!E$11</f>
        <v>2</v>
      </c>
      <c r="AF160" s="77">
        <f t="shared" si="126"/>
        <v>0</v>
      </c>
      <c r="AG160" s="19"/>
      <c r="AH160" s="178" t="s">
        <v>76</v>
      </c>
      <c r="AI160" s="54" t="s">
        <v>68</v>
      </c>
      <c r="AJ160" s="177" t="s">
        <v>77</v>
      </c>
      <c r="AK160" s="55" t="str" cm="1">
        <f t="array" ref="AK160">IF(ISNUMBER(G161),G161-_xlfn.AGGREGATE(14,6,(K$4:K160&lt;G161)*K$4:K160,1),"")</f>
        <v/>
      </c>
      <c r="AL160" s="20" t="str">
        <f>IF(ISNUMBER(AK160),ABS(IF(SUM(AK160-ref!E$9)&gt;0,0,SUM(AK160-ref!E$9))),"")</f>
        <v/>
      </c>
      <c r="AQ160"/>
    </row>
    <row r="161" spans="2:43" ht="15.75" thickBot="1" x14ac:dyDescent="0.3">
      <c r="B161"/>
      <c r="C161"/>
      <c r="D161"/>
      <c r="E161" s="154">
        <f t="shared" si="122"/>
        <v>43941</v>
      </c>
      <c r="F161" s="160" t="s">
        <v>19</v>
      </c>
      <c r="G161" s="155" t="str">
        <f t="shared" si="120"/>
        <v/>
      </c>
      <c r="H161" s="29"/>
      <c r="I161" s="23">
        <f t="shared" si="123"/>
        <v>0</v>
      </c>
      <c r="J161" s="29"/>
      <c r="K161" s="46" t="str">
        <f t="shared" si="121"/>
        <v/>
      </c>
      <c r="L161" s="21">
        <f>IF(OR(F161="télétravail",F161="férié travaillé",F161="travail"),(J161-H161+IF(H161&gt;J161,1)-I161),INDEX(ref!$E$22:'ref'!$E$37,MATCH(F161,gerald3,0)))</f>
        <v>0</v>
      </c>
      <c r="M161" s="13">
        <f>IF(SUM(L161-ref!E$8)&lt;0,0,SUM(L161-ref!E$8))</f>
        <v>0</v>
      </c>
      <c r="N161" s="252">
        <f>L161-(hs!D160+hs!F160+hs!H160+hs!J160)</f>
        <v>0</v>
      </c>
      <c r="O161" s="8">
        <f>IF(OR(F161="férié travaillé",F161="travail",F161="asa",F161="rtt"),J161-H161+IF(H161&gt;J161,1),INDEX(ref!$E$22:'ref'!$E$37,MATCH(F161,gerald2,0)))</f>
        <v>0</v>
      </c>
      <c r="P161" s="14">
        <f>IF(SUM(O161-ref!E$4)&lt;0,0,SUM(O161-ref!E$4))</f>
        <v>0</v>
      </c>
      <c r="Q161" s="94">
        <f t="shared" si="124"/>
        <v>1.4583333333333335</v>
      </c>
      <c r="S161" s="138"/>
      <c r="T161" s="92"/>
      <c r="U161" s="129"/>
      <c r="V161" s="142"/>
      <c r="W161" s="141" t="str">
        <f>IF(V161="","",IF(SUM(V161-ref!E$38)&gt;0,0,IF(V161=0, "0:00", SUM(V161-ref!E$38))))</f>
        <v/>
      </c>
      <c r="X161" s="138"/>
      <c r="Y161" s="92"/>
      <c r="Z161" s="247"/>
      <c r="AA161" s="142">
        <f t="shared" si="125"/>
        <v>0</v>
      </c>
      <c r="AB161" s="246" t="str">
        <f>IF(AA161="","",IF(SUM(AA161-ref!E$38)&gt;0,0,IF(AA161=0, "0:00", SUM(AA161-ref!E$38))))</f>
        <v>0:00</v>
      </c>
      <c r="AC161" s="29"/>
      <c r="AD161" s="106"/>
      <c r="AE161" s="110">
        <f>IF(SUM(Q161-ref!E$11)&lt;0,0,SUM(Q161-ref!E$11))</f>
        <v>0</v>
      </c>
      <c r="AF161" s="77">
        <f t="shared" si="126"/>
        <v>0</v>
      </c>
      <c r="AG161" s="19"/>
      <c r="AQ161"/>
    </row>
    <row r="162" spans="2:43" x14ac:dyDescent="0.25">
      <c r="F162" s="157"/>
      <c r="W162" s="74"/>
      <c r="X162" s="2"/>
      <c r="Z162"/>
      <c r="AA162" s="2"/>
      <c r="AB162" s="2"/>
      <c r="AC162" s="127"/>
      <c r="AQ162"/>
    </row>
    <row r="163" spans="2:43" x14ac:dyDescent="0.25">
      <c r="F163" s="157"/>
      <c r="X163" s="2"/>
      <c r="Z163"/>
      <c r="AA163" s="2"/>
      <c r="AB163" s="2"/>
      <c r="AC163" s="127"/>
      <c r="AQ163"/>
    </row>
    <row r="164" spans="2:43" ht="15.75" thickBot="1" x14ac:dyDescent="0.3">
      <c r="F164" s="157"/>
      <c r="W164" s="74"/>
      <c r="X164" s="2"/>
      <c r="Z164"/>
      <c r="AA164" s="2"/>
      <c r="AB164" s="2"/>
      <c r="AC164" s="127"/>
      <c r="AQ164"/>
    </row>
    <row r="165" spans="2:43" x14ac:dyDescent="0.25">
      <c r="B165" s="78" t="s">
        <v>1</v>
      </c>
      <c r="C165" s="85" t="s">
        <v>90</v>
      </c>
      <c r="D165" s="85"/>
      <c r="E165" s="154">
        <f>DATE(ref!E$2,B169,B167)</f>
        <v>43942</v>
      </c>
      <c r="F165" s="158" t="s">
        <v>20</v>
      </c>
      <c r="G165" s="155">
        <f t="shared" ref="G165:G171" si="127">IF(AND(J165="",H165=""),"",E165+H165)</f>
        <v>43942.369444444441</v>
      </c>
      <c r="H165" s="29">
        <v>0.36944444444444446</v>
      </c>
      <c r="I165" s="23">
        <f>SUM(V165+AA165+AC165)</f>
        <v>2.9861111111111116E-2</v>
      </c>
      <c r="J165" s="29">
        <v>0.76874999999999993</v>
      </c>
      <c r="K165" s="46">
        <f t="shared" ref="K165:K171" si="128">IF(AND(H165="",J165=""),"",E165+J165+(H165&gt;J165))</f>
        <v>43942.768750000003</v>
      </c>
      <c r="L165" s="21">
        <f>IF(OR(F165="télétravail",F165="férié travaillé",F165="travail"),(J165-H165+IF(H165&gt;J165,1)-I165),INDEX(ref!$E$22:'ref'!$E$37,MATCH(F165,gerald3,0)))</f>
        <v>0.36944444444444435</v>
      </c>
      <c r="M165" s="13">
        <f>IF(SUM(L165-ref!E$8)&lt;0,0,SUM(L165-ref!E$8))</f>
        <v>0</v>
      </c>
      <c r="N165" s="252">
        <f>L165-(hs!D164+hs!F164+hs!H164+hs!J164)</f>
        <v>-2.9861111111111116E-2</v>
      </c>
      <c r="O165" s="8">
        <f>IF(OR(F165="férié travaillé",F165="travail",F165="asa",F165="rtt"),J165-H165+IF(H165&gt;J165,1),INDEX(ref!$E$22:'ref'!$E$37,MATCH(F165,gerald2,0)))</f>
        <v>0.39930555555555547</v>
      </c>
      <c r="P165" s="14">
        <f>IF(SUM(O165-ref!E$4)&lt;0,0,SUM(O165-ref!E$4))</f>
        <v>0</v>
      </c>
      <c r="Q165" s="21">
        <f>L165</f>
        <v>0.36944444444444435</v>
      </c>
      <c r="S165" s="136"/>
      <c r="T165" s="92">
        <v>0.53055555555555556</v>
      </c>
      <c r="U165" s="129">
        <v>0.56041666666666667</v>
      </c>
      <c r="V165" s="142">
        <f t="shared" ref="V165:V171" si="129">U165-T165</f>
        <v>2.9861111111111116E-2</v>
      </c>
      <c r="W165" s="141">
        <f>IF(V165="","",IF(SUM(V165-ref!E$38)&gt;0,0,IF(V165=0, "0:00", SUM(V165-ref!E$38))))</f>
        <v>-1.388888888888884E-3</v>
      </c>
      <c r="X165" s="136"/>
      <c r="Y165" s="92"/>
      <c r="Z165" s="247"/>
      <c r="AA165" s="142">
        <f>Z165-Y165</f>
        <v>0</v>
      </c>
      <c r="AB165" s="244" t="str">
        <f>IF(AA165="","",IF(SUM(AA165-ref!E$38)&gt;0,0,IF(AA165=0, "0:00", SUM(AA165-ref!E$38))))</f>
        <v>0:00</v>
      </c>
      <c r="AC165" s="29"/>
      <c r="AD165" s="106"/>
      <c r="AE165" s="111">
        <f>SUM(AF165:AF171)</f>
        <v>5</v>
      </c>
      <c r="AF165" s="77">
        <f t="shared" ref="AF165:AF171" si="130">IF(AND(H165&lt;&gt;"",J165&lt;&gt;""),1,0+OR(N(J164)&lt;N(H164),F165="récupération",F165="congé 1 jour",F165="congé 1/2 jour ",F165="congé 5h24",F165="arrêt maladie",F165="arrêt travail",F165="férié ",F165="congé parentale",F165="congé de naissance"))</f>
        <v>1</v>
      </c>
      <c r="AG165" s="19"/>
      <c r="AH165" s="176" t="s">
        <v>71</v>
      </c>
      <c r="AI165" s="54" t="s">
        <v>68</v>
      </c>
      <c r="AJ165" s="177" t="s">
        <v>72</v>
      </c>
      <c r="AK165" s="55" cm="1">
        <f t="array" ref="AK165">IF(ISNUMBER(G166),G166-_xlfn.AGGREGATE(14,6,(K$4:K165&lt;G166)*K$4:K165,1),"")</f>
        <v>0.60486111111094942</v>
      </c>
      <c r="AL165" s="20">
        <f>IF(ISNUMBER(AK165),ABS(IF(SUM(AK165-ref!E$9)&gt;0,0,SUM(AK165-ref!E$9))),"")</f>
        <v>0</v>
      </c>
      <c r="AQ165"/>
    </row>
    <row r="166" spans="2:43" x14ac:dyDescent="0.25">
      <c r="B166" s="79" t="s">
        <v>1</v>
      </c>
      <c r="C166" s="85" t="s">
        <v>90</v>
      </c>
      <c r="D166" s="85"/>
      <c r="E166" s="154">
        <f t="shared" ref="E166:E171" si="131">E165+1</f>
        <v>43943</v>
      </c>
      <c r="F166" s="159" t="s">
        <v>20</v>
      </c>
      <c r="G166" s="155">
        <f t="shared" si="127"/>
        <v>43943.373611111114</v>
      </c>
      <c r="H166" s="29">
        <v>0.37361111111111112</v>
      </c>
      <c r="I166" s="23">
        <f t="shared" ref="I166:I171" si="132">SUM(V166+AA166+AC166)</f>
        <v>4.0277777777777746E-2</v>
      </c>
      <c r="J166" s="29">
        <v>0.76527777777777783</v>
      </c>
      <c r="K166" s="46">
        <f t="shared" si="128"/>
        <v>43943.765277777777</v>
      </c>
      <c r="L166" s="21">
        <f>IF(OR(F166="télétravail",F166="férié travaillé",F166="travail"),(J166-H166+IF(H166&gt;J166,1)-I166),INDEX(ref!$E$22:'ref'!$E$37,MATCH(F166,gerald3,0)))</f>
        <v>0.35138888888888897</v>
      </c>
      <c r="M166" s="13">
        <f>IF(SUM(L166-ref!E$8)&lt;0,0,SUM(L166-ref!E$8))</f>
        <v>0</v>
      </c>
      <c r="N166" s="252">
        <f>L166-(hs!D165+hs!F165+hs!H165+hs!J165)</f>
        <v>-4.0277777777777746E-2</v>
      </c>
      <c r="O166" s="8">
        <f>IF(OR(F166="férié travaillé",F166="travail",F166="asa",F166="rtt"),J166-H166+IF(H166&gt;J166,1),INDEX(ref!$E$22:'ref'!$E$37,MATCH(F166,gerald2,0)))</f>
        <v>0.39166666666666672</v>
      </c>
      <c r="P166" s="14">
        <f>IF(SUM(O166-ref!E$4)&lt;0,0,SUM(O166-ref!E$4))</f>
        <v>0</v>
      </c>
      <c r="Q166" s="24">
        <f t="shared" ref="Q166:Q171" si="133">Q165+L166</f>
        <v>0.72083333333333333</v>
      </c>
      <c r="S166" s="137"/>
      <c r="T166" s="92">
        <v>0.5083333333333333</v>
      </c>
      <c r="U166" s="129">
        <v>0.54861111111111105</v>
      </c>
      <c r="V166" s="142">
        <f t="shared" si="129"/>
        <v>4.0277777777777746E-2</v>
      </c>
      <c r="W166" s="141">
        <f>IF(V166="","",IF(SUM(V166-ref!E$38)&gt;0,0,IF(V166=0, "0:00", SUM(V166-ref!E$38))))</f>
        <v>0</v>
      </c>
      <c r="X166" s="137"/>
      <c r="Y166" s="92"/>
      <c r="Z166" s="247"/>
      <c r="AA166" s="142">
        <f t="shared" ref="AA166:AA171" si="134">Z166-Y166</f>
        <v>0</v>
      </c>
      <c r="AB166" s="245" t="str">
        <f>IF(AA166="","",IF(SUM(AA166-ref!E$38)&gt;0,0,IF(AA166=0, "0:00", SUM(AA166-ref!E$38))))</f>
        <v>0:00</v>
      </c>
      <c r="AC166" s="29"/>
      <c r="AD166" s="106"/>
      <c r="AE166" s="112">
        <f>IF(SUM(AE165-ref!E$7)&lt;0,0,SUM(AE165-ref!E$7))</f>
        <v>0</v>
      </c>
      <c r="AF166" s="77">
        <f t="shared" si="130"/>
        <v>1</v>
      </c>
      <c r="AG166" s="19"/>
      <c r="AH166" s="178" t="s">
        <v>72</v>
      </c>
      <c r="AI166" s="54" t="s">
        <v>68</v>
      </c>
      <c r="AJ166" s="177" t="s">
        <v>73</v>
      </c>
      <c r="AK166" s="55" cm="1">
        <f t="array" ref="AK166">IF(ISNUMBER(G167),G167-_xlfn.AGGREGATE(14,6,(K$4:K166&lt;G167)*K$4:K166,1),"")</f>
        <v>0.61805555555474712</v>
      </c>
      <c r="AL166" s="20">
        <f>IF(ISNUMBER(AK166),ABS(IF(SUM(AK166-ref!E$9)&gt;0,0,SUM(AK166-ref!E$9))),"")</f>
        <v>0</v>
      </c>
      <c r="AQ166"/>
    </row>
    <row r="167" spans="2:43" x14ac:dyDescent="0.25">
      <c r="B167" s="80">
        <v>22</v>
      </c>
      <c r="C167" s="85" t="s">
        <v>90</v>
      </c>
      <c r="D167" s="85"/>
      <c r="E167" s="154">
        <f t="shared" si="131"/>
        <v>43944</v>
      </c>
      <c r="F167" s="159" t="s">
        <v>20</v>
      </c>
      <c r="G167" s="155">
        <f t="shared" si="127"/>
        <v>43944.383333333331</v>
      </c>
      <c r="H167" s="29">
        <v>0.3833333333333333</v>
      </c>
      <c r="I167" s="23">
        <f t="shared" si="132"/>
        <v>2.5694444444444464E-2</v>
      </c>
      <c r="J167" s="29">
        <v>0.76597222222222217</v>
      </c>
      <c r="K167" s="46">
        <f t="shared" si="128"/>
        <v>43944.765972222223</v>
      </c>
      <c r="L167" s="21">
        <f>IF(OR(F167="télétravail",F167="férié travaillé",F167="travail"),(J167-H167+IF(H167&gt;J167,1)-I167),INDEX(ref!$E$22:'ref'!$E$37,MATCH(F167,gerald3,0)))</f>
        <v>0.3569444444444444</v>
      </c>
      <c r="M167" s="13">
        <f>IF(SUM(L167-ref!E$8)&lt;0,0,SUM(L167-ref!E$8))</f>
        <v>0</v>
      </c>
      <c r="N167" s="252">
        <f>L167-(hs!D166+hs!F166+hs!H166+hs!J166)</f>
        <v>-2.5694444444444464E-2</v>
      </c>
      <c r="O167" s="8">
        <f>IF(OR(F167="férié travaillé",F167="travail",F167="asa",F167="rtt"),J167-H167+IF(H167&gt;J167,1),INDEX(ref!$E$22:'ref'!$E$37,MATCH(F167,gerald2,0)))</f>
        <v>0.38263888888888886</v>
      </c>
      <c r="P167" s="14">
        <f>IF(SUM(O167-ref!E$4)&lt;0,0,SUM(O167-ref!E$4))</f>
        <v>0</v>
      </c>
      <c r="Q167" s="24">
        <f t="shared" si="133"/>
        <v>1.0777777777777777</v>
      </c>
      <c r="S167" s="137"/>
      <c r="T167" s="92">
        <v>0.53194444444444444</v>
      </c>
      <c r="U167" s="129">
        <v>0.55763888888888891</v>
      </c>
      <c r="V167" s="142">
        <f t="shared" si="129"/>
        <v>2.5694444444444464E-2</v>
      </c>
      <c r="W167" s="141">
        <f>IF(V167="","",IF(SUM(V167-ref!E$38)&gt;0,0,IF(V167=0, "0:00", SUM(V167-ref!E$38))))</f>
        <v>-5.5555555555555358E-3</v>
      </c>
      <c r="X167" s="137"/>
      <c r="Y167" s="92"/>
      <c r="Z167" s="247"/>
      <c r="AA167" s="142">
        <f t="shared" si="134"/>
        <v>0</v>
      </c>
      <c r="AB167" s="245" t="str">
        <f>IF(AA167="","",IF(SUM(AA167-ref!E$38)&gt;0,0,IF(AA167=0, "0:00", SUM(AA167-ref!E$38))))</f>
        <v>0:00</v>
      </c>
      <c r="AC167" s="29"/>
      <c r="AD167" s="106"/>
      <c r="AE167" s="113" t="s">
        <v>29</v>
      </c>
      <c r="AF167" s="77">
        <f t="shared" si="130"/>
        <v>1</v>
      </c>
      <c r="AG167" s="19"/>
      <c r="AH167" s="178" t="s">
        <v>73</v>
      </c>
      <c r="AI167" s="54" t="s">
        <v>68</v>
      </c>
      <c r="AJ167" s="177" t="s">
        <v>74</v>
      </c>
      <c r="AK167" s="55" cm="1">
        <f t="array" ref="AK167">IF(ISNUMBER(G168),G168-_xlfn.AGGREGATE(14,6,(K$4:K167&lt;G168)*K$4:K167,1),"")</f>
        <v>0.61805555555474712</v>
      </c>
      <c r="AL167" s="20">
        <f>IF(ISNUMBER(AK167),ABS(IF(SUM(AK167-ref!E$9)&gt;0,0,SUM(AK167-ref!E$9))),"")</f>
        <v>0</v>
      </c>
      <c r="AQ167"/>
    </row>
    <row r="168" spans="2:43" x14ac:dyDescent="0.25">
      <c r="B168" s="79" t="s">
        <v>58</v>
      </c>
      <c r="C168" s="85" t="s">
        <v>90</v>
      </c>
      <c r="D168" s="85"/>
      <c r="E168" s="154">
        <f t="shared" si="131"/>
        <v>43945</v>
      </c>
      <c r="F168" s="159" t="s">
        <v>20</v>
      </c>
      <c r="G168" s="155">
        <f t="shared" si="127"/>
        <v>43945.384027777778</v>
      </c>
      <c r="H168" s="29">
        <v>0.3840277777777778</v>
      </c>
      <c r="I168" s="23">
        <f t="shared" si="132"/>
        <v>2.6388888888888906E-2</v>
      </c>
      <c r="J168" s="29">
        <v>0.76527777777777783</v>
      </c>
      <c r="K168" s="46">
        <f t="shared" si="128"/>
        <v>43945.765277777777</v>
      </c>
      <c r="L168" s="21">
        <f>IF(OR(F168="télétravail",F168="férié travaillé",F168="travail"),(J168-H168+IF(H168&gt;J168,1)-I168),INDEX(ref!$E$22:'ref'!$E$37,MATCH(F168,gerald3,0)))</f>
        <v>0.35486111111111113</v>
      </c>
      <c r="M168" s="13">
        <f>IF(SUM(L168-ref!E$8)&lt;0,0,SUM(L168-ref!E$8))</f>
        <v>0</v>
      </c>
      <c r="N168" s="252">
        <f>L168-(hs!D167+hs!F167+hs!H167+hs!J167)</f>
        <v>-2.6388888888888906E-2</v>
      </c>
      <c r="O168" s="8">
        <f>IF(OR(F168="férié travaillé",F168="travail",F168="asa",F168="rtt"),J168-H168+IF(H168&gt;J168,1),INDEX(ref!$E$22:'ref'!$E$37,MATCH(F168,gerald2,0)))</f>
        <v>0.38125000000000003</v>
      </c>
      <c r="P168" s="14">
        <f>IF(SUM(O168-ref!E$4)&lt;0,0,SUM(O168-ref!E$4))</f>
        <v>0</v>
      </c>
      <c r="Q168" s="24">
        <f t="shared" si="133"/>
        <v>1.4326388888888888</v>
      </c>
      <c r="S168" s="137"/>
      <c r="T168" s="92">
        <v>0.5229166666666667</v>
      </c>
      <c r="U168" s="129">
        <v>0.5493055555555556</v>
      </c>
      <c r="V168" s="142">
        <f t="shared" si="129"/>
        <v>2.6388888888888906E-2</v>
      </c>
      <c r="W168" s="141">
        <f>IF(V168="","",IF(SUM(V168-ref!E$38)&gt;0,0,IF(V168=0, "0:00", SUM(V168-ref!E$38))))</f>
        <v>-4.8611111111110938E-3</v>
      </c>
      <c r="X168" s="137"/>
      <c r="Y168" s="92"/>
      <c r="Z168" s="247"/>
      <c r="AA168" s="142">
        <f t="shared" si="134"/>
        <v>0</v>
      </c>
      <c r="AB168" s="245" t="str">
        <f>IF(AA168="","",IF(SUM(AA168-ref!E$38)&gt;0,0,IF(AA168=0, "0:00", SUM(AA168-ref!E$38))))</f>
        <v>0:00</v>
      </c>
      <c r="AC168" s="29"/>
      <c r="AD168" s="106"/>
      <c r="AE168" s="114">
        <f>Q171</f>
        <v>1.7618055555555554</v>
      </c>
      <c r="AF168" s="77">
        <f t="shared" si="130"/>
        <v>1</v>
      </c>
      <c r="AG168" s="19"/>
      <c r="AH168" s="178" t="s">
        <v>74</v>
      </c>
      <c r="AI168" s="54" t="s">
        <v>68</v>
      </c>
      <c r="AJ168" s="177" t="s">
        <v>75</v>
      </c>
      <c r="AK168" s="55" cm="1">
        <f t="array" ref="AK168">IF(ISNUMBER(G169),G169-_xlfn.AGGREGATE(14,6,(K$4:K168&lt;G169)*K$4:K168,1),"")</f>
        <v>0.62777777777955635</v>
      </c>
      <c r="AL168" s="20">
        <f>IF(ISNUMBER(AK168),ABS(IF(SUM(AK168-ref!E$9)&gt;0,0,SUM(AK168-ref!E$9))),"")</f>
        <v>0</v>
      </c>
      <c r="AQ168"/>
    </row>
    <row r="169" spans="2:43" x14ac:dyDescent="0.25">
      <c r="B169" s="81">
        <v>4</v>
      </c>
      <c r="C169" s="86" t="s">
        <v>90</v>
      </c>
      <c r="D169" s="86"/>
      <c r="E169" s="154">
        <f t="shared" si="131"/>
        <v>43946</v>
      </c>
      <c r="F169" s="159" t="s">
        <v>20</v>
      </c>
      <c r="G169" s="155">
        <f t="shared" si="127"/>
        <v>43946.393055555556</v>
      </c>
      <c r="H169" s="29">
        <v>0.39305555555555555</v>
      </c>
      <c r="I169" s="23">
        <f t="shared" si="132"/>
        <v>3.125E-2</v>
      </c>
      <c r="J169" s="29">
        <v>0.75347222222222221</v>
      </c>
      <c r="K169" s="46">
        <f t="shared" si="128"/>
        <v>43946.753472222219</v>
      </c>
      <c r="L169" s="21">
        <f>IF(OR(F169="télétravail",F169="férié travaillé",F169="travail"),(J169-H169+IF(H169&gt;J169,1)-I169),INDEX(ref!$E$22:'ref'!$E$37,MATCH(F169,gerald3,0)))</f>
        <v>0.32916666666666666</v>
      </c>
      <c r="M169" s="13">
        <f>IF(SUM(L169-ref!E$8)&lt;0,0,SUM(L169-ref!E$8))</f>
        <v>0</v>
      </c>
      <c r="N169" s="252">
        <f>L169-(hs!D168+hs!F168+hs!H168+hs!J168)</f>
        <v>-3.125E-2</v>
      </c>
      <c r="O169" s="8">
        <f>IF(OR(F169="férié travaillé",F169="travail",F169="asa",F169="rtt"),J169-H169+IF(H169&gt;J169,1),INDEX(ref!$E$22:'ref'!$E$37,MATCH(F169,gerald2,0)))</f>
        <v>0.36041666666666666</v>
      </c>
      <c r="P169" s="14">
        <f>IF(SUM(O169-ref!E$4)&lt;0,0,SUM(O169-ref!E$4))</f>
        <v>0</v>
      </c>
      <c r="Q169" s="24">
        <f t="shared" si="133"/>
        <v>1.7618055555555554</v>
      </c>
      <c r="S169" s="137"/>
      <c r="T169" s="92">
        <v>0.52083333333333337</v>
      </c>
      <c r="U169" s="129">
        <v>0.55208333333333337</v>
      </c>
      <c r="V169" s="142">
        <f t="shared" si="129"/>
        <v>3.125E-2</v>
      </c>
      <c r="W169" s="141">
        <f>IF(V169="","",IF(SUM(V169-ref!E$38)&gt;0,0,IF(V169=0, "0:00", SUM(V169-ref!E$38))))</f>
        <v>0</v>
      </c>
      <c r="X169" s="137"/>
      <c r="Y169" s="92"/>
      <c r="Z169" s="247"/>
      <c r="AA169" s="142">
        <f t="shared" si="134"/>
        <v>0</v>
      </c>
      <c r="AB169" s="245" t="str">
        <f>IF(AA169="","",IF(SUM(AA169-ref!E$38)&gt;0,0,IF(AA169=0, "0:00", SUM(AA169-ref!E$38))))</f>
        <v>0:00</v>
      </c>
      <c r="AC169" s="29"/>
      <c r="AD169" s="106"/>
      <c r="AE169" s="117" t="s">
        <v>47</v>
      </c>
      <c r="AF169" s="77">
        <f t="shared" si="130"/>
        <v>1</v>
      </c>
      <c r="AG169" s="19"/>
      <c r="AH169" s="178" t="s">
        <v>75</v>
      </c>
      <c r="AI169" s="54" t="s">
        <v>68</v>
      </c>
      <c r="AJ169" s="177" t="s">
        <v>76</v>
      </c>
      <c r="AK169" s="55" t="str" cm="1">
        <f t="array" ref="AK169">IF(ISNUMBER(G170),G170-_xlfn.AGGREGATE(14,6,(K$4:K169&lt;G170)*K$4:K169,1),"")</f>
        <v/>
      </c>
      <c r="AL169" s="20" t="str">
        <f>IF(ISNUMBER(AK169),ABS(IF(SUM(AK169-ref!E$9)&gt;0,0,SUM(AK169-ref!E$9))),"")</f>
        <v/>
      </c>
      <c r="AQ169"/>
    </row>
    <row r="170" spans="2:43" ht="15.75" thickBot="1" x14ac:dyDescent="0.3">
      <c r="B170"/>
      <c r="C170"/>
      <c r="D170"/>
      <c r="E170" s="154">
        <f t="shared" si="131"/>
        <v>43947</v>
      </c>
      <c r="F170" s="159" t="s">
        <v>19</v>
      </c>
      <c r="G170" s="155" t="str">
        <f t="shared" si="127"/>
        <v/>
      </c>
      <c r="H170" s="29"/>
      <c r="I170" s="23">
        <f t="shared" si="132"/>
        <v>0</v>
      </c>
      <c r="J170" s="29"/>
      <c r="K170" s="46" t="str">
        <f t="shared" si="128"/>
        <v/>
      </c>
      <c r="L170" s="21">
        <f>IF(OR(F170="télétravail",F170="férié travaillé",F170="travail"),(J170-H170+IF(H170&gt;J170,1)-I170),INDEX(ref!$E$22:'ref'!$E$37,MATCH(F170,gerald3,0)))</f>
        <v>0</v>
      </c>
      <c r="M170" s="13">
        <f>IF(SUM(L170-ref!E$8)&lt;0,0,SUM(L170-ref!E$8))</f>
        <v>0</v>
      </c>
      <c r="N170" s="252">
        <f>L170-(hs!D169+hs!F169+hs!H169+hs!J169)</f>
        <v>0</v>
      </c>
      <c r="O170" s="8">
        <f>IF(OR(F170="férié travaillé",F170="travail",F170="asa",F170="rtt"),J170-H170+IF(H170&gt;J170,1),INDEX(ref!$E$22:'ref'!$E$37,MATCH(F170,gerald2,0)))</f>
        <v>0</v>
      </c>
      <c r="P170" s="14">
        <f>IF(SUM(O170-ref!E$4)&lt;0,0,SUM(O170-ref!E$4))</f>
        <v>0</v>
      </c>
      <c r="Q170" s="97">
        <f t="shared" si="133"/>
        <v>1.7618055555555554</v>
      </c>
      <c r="S170" s="137"/>
      <c r="T170" s="92"/>
      <c r="U170" s="129"/>
      <c r="V170" s="142">
        <f t="shared" si="129"/>
        <v>0</v>
      </c>
      <c r="W170" s="141" t="str">
        <f>IF(V170="","",IF(SUM(V170-ref!E$38)&gt;0,0,IF(V170=0, "0:00", SUM(V170-ref!E$38))))</f>
        <v>0:00</v>
      </c>
      <c r="X170" s="137"/>
      <c r="Y170" s="92"/>
      <c r="Z170" s="247"/>
      <c r="AA170" s="142">
        <f t="shared" si="134"/>
        <v>0</v>
      </c>
      <c r="AB170" s="245" t="str">
        <f>IF(AA170="","",IF(SUM(AA170-ref!E$38)&gt;0,0,IF(AA170=0, "0:00", SUM(AA170-ref!E$38))))</f>
        <v>0:00</v>
      </c>
      <c r="AC170" s="29"/>
      <c r="AD170" s="106"/>
      <c r="AE170" s="118">
        <f>ref!E$11</f>
        <v>2</v>
      </c>
      <c r="AF170" s="77">
        <f t="shared" si="130"/>
        <v>0</v>
      </c>
      <c r="AG170" s="19"/>
      <c r="AH170" s="178" t="s">
        <v>76</v>
      </c>
      <c r="AI170" s="54" t="s">
        <v>68</v>
      </c>
      <c r="AJ170" s="177" t="s">
        <v>77</v>
      </c>
      <c r="AK170" s="55" t="str" cm="1">
        <f t="array" ref="AK170">IF(ISNUMBER(G171),G171-_xlfn.AGGREGATE(14,6,(K$4:K170&lt;G171)*K$4:K170,1),"")</f>
        <v/>
      </c>
      <c r="AL170" s="20" t="str">
        <f>IF(ISNUMBER(AK170),ABS(IF(SUM(AK170-ref!E$9)&gt;0,0,SUM(AK170-ref!E$9))),"")</f>
        <v/>
      </c>
      <c r="AQ170"/>
    </row>
    <row r="171" spans="2:43" ht="15.75" thickBot="1" x14ac:dyDescent="0.3">
      <c r="B171"/>
      <c r="C171"/>
      <c r="D171"/>
      <c r="E171" s="154">
        <f t="shared" si="131"/>
        <v>43948</v>
      </c>
      <c r="F171" s="160" t="s">
        <v>19</v>
      </c>
      <c r="G171" s="155" t="str">
        <f t="shared" si="127"/>
        <v/>
      </c>
      <c r="H171" s="29"/>
      <c r="I171" s="23">
        <f t="shared" si="132"/>
        <v>0</v>
      </c>
      <c r="J171" s="29"/>
      <c r="K171" s="46" t="str">
        <f t="shared" si="128"/>
        <v/>
      </c>
      <c r="L171" s="21">
        <f>IF(OR(F171="télétravail",F171="férié travaillé",F171="travail"),(J171-H171+IF(H171&gt;J171,1)-I171),INDEX(ref!$E$22:'ref'!$E$37,MATCH(F171,gerald3,0)))</f>
        <v>0</v>
      </c>
      <c r="M171" s="13">
        <f>IF(SUM(L171-ref!E$8)&lt;0,0,SUM(L171-ref!E$8))</f>
        <v>0</v>
      </c>
      <c r="N171" s="252">
        <f>L171-(hs!D170+hs!F170+hs!H170+hs!J170)</f>
        <v>0</v>
      </c>
      <c r="O171" s="8">
        <f>IF(OR(F171="férié travaillé",F171="travail",F171="asa",F171="rtt"),J171-H171+IF(H171&gt;J171,1),INDEX(ref!$E$22:'ref'!$E$37,MATCH(F171,gerald2,0)))</f>
        <v>0</v>
      </c>
      <c r="P171" s="14">
        <f>IF(SUM(O171-ref!E$4)&lt;0,0,SUM(O171-ref!E$4))</f>
        <v>0</v>
      </c>
      <c r="Q171" s="94">
        <f t="shared" si="133"/>
        <v>1.7618055555555554</v>
      </c>
      <c r="S171" s="138"/>
      <c r="T171" s="92"/>
      <c r="U171" s="129"/>
      <c r="V171" s="142">
        <f t="shared" si="129"/>
        <v>0</v>
      </c>
      <c r="W171" s="141" t="str">
        <f>IF(V171="","",IF(SUM(V171-ref!E$38)&gt;0,0,IF(V171=0, "0:00", SUM(V171-ref!E$38))))</f>
        <v>0:00</v>
      </c>
      <c r="X171" s="138"/>
      <c r="Y171" s="92"/>
      <c r="Z171" s="247"/>
      <c r="AA171" s="142">
        <f t="shared" si="134"/>
        <v>0</v>
      </c>
      <c r="AB171" s="246" t="str">
        <f>IF(AA171="","",IF(SUM(AA171-ref!E$38)&gt;0,0,IF(AA171=0, "0:00", SUM(AA171-ref!E$38))))</f>
        <v>0:00</v>
      </c>
      <c r="AC171" s="29"/>
      <c r="AD171" s="106"/>
      <c r="AE171" s="110">
        <f>IF(SUM(Q171-ref!E$11)&lt;0,0,SUM(Q171-ref!E$11))</f>
        <v>0</v>
      </c>
      <c r="AF171" s="77">
        <f t="shared" si="130"/>
        <v>0</v>
      </c>
      <c r="AG171" s="19"/>
      <c r="AQ171"/>
    </row>
    <row r="172" spans="2:43" x14ac:dyDescent="0.25">
      <c r="F172" s="157"/>
      <c r="W172" s="74"/>
      <c r="X172" s="2"/>
      <c r="Z172"/>
      <c r="AA172" s="2"/>
      <c r="AB172" s="2"/>
      <c r="AC172" s="127"/>
      <c r="AQ172"/>
    </row>
    <row r="173" spans="2:43" x14ac:dyDescent="0.25">
      <c r="F173" s="157"/>
      <c r="X173" s="2"/>
      <c r="Z173"/>
      <c r="AA173" s="2"/>
      <c r="AB173" s="2"/>
      <c r="AC173" s="127"/>
      <c r="AQ173"/>
    </row>
    <row r="174" spans="2:43" ht="15.75" thickBot="1" x14ac:dyDescent="0.3">
      <c r="F174" s="157"/>
      <c r="W174" s="74"/>
      <c r="X174" s="2"/>
      <c r="Z174"/>
      <c r="AA174" s="2"/>
      <c r="AB174" s="2"/>
      <c r="AC174" s="127"/>
      <c r="AQ174"/>
    </row>
    <row r="175" spans="2:43" x14ac:dyDescent="0.25">
      <c r="B175" s="78" t="s">
        <v>1</v>
      </c>
      <c r="C175" s="90" t="s">
        <v>20</v>
      </c>
      <c r="D175" s="187"/>
      <c r="E175" s="192">
        <f>DATE(ref!E$2,B179,B177)</f>
        <v>43949</v>
      </c>
      <c r="F175" s="189" t="s">
        <v>20</v>
      </c>
      <c r="G175" s="155">
        <f t="shared" ref="G175:G181" si="135">IF(AND(J175="",H175=""),"",E175+H175)</f>
        <v>43949.376388888886</v>
      </c>
      <c r="H175" s="29">
        <v>0.37638888888888888</v>
      </c>
      <c r="I175" s="23">
        <f>SUM(V175+AA175+AC175)</f>
        <v>3.9583333333333304E-2</v>
      </c>
      <c r="J175" s="29">
        <v>0.71805555555555556</v>
      </c>
      <c r="K175" s="46">
        <f t="shared" ref="K175:K181" si="136">IF(AND(H175="",J175=""),"",E175+J175+(H175&gt;J175))</f>
        <v>43949.718055555553</v>
      </c>
      <c r="L175" s="21">
        <f>IF(OR(F175="télétravail",F175="férié travaillé",F175="travail"),(J175-H175+IF(H175&gt;J175,1)-I175),INDEX(ref!$E$22:'ref'!$E$37,MATCH(F175,gerald3,0)))</f>
        <v>0.30208333333333337</v>
      </c>
      <c r="M175" s="13">
        <f>IF(SUM(L175-ref!E$8)&lt;0,0,SUM(L175-ref!E$8))</f>
        <v>0</v>
      </c>
      <c r="N175" s="252">
        <f>L175-(hs!D174+hs!F174+hs!H174+hs!J174)</f>
        <v>-3.9583333333333304E-2</v>
      </c>
      <c r="O175" s="8">
        <f>IF(OR(F175="férié travaillé",F175="travail",F175="asa",F175="rtt"),J175-H175+IF(H175&gt;J175,1),INDEX(ref!$E$22:'ref'!$E$37,MATCH(F175,gerald2,0)))</f>
        <v>0.34166666666666667</v>
      </c>
      <c r="P175" s="14">
        <f>IF(SUM(O175-ref!E$4)&lt;0,0,SUM(O175-ref!E$4))</f>
        <v>0</v>
      </c>
      <c r="Q175" s="21">
        <f>L175</f>
        <v>0.30208333333333337</v>
      </c>
      <c r="S175" s="136"/>
      <c r="T175" s="92">
        <v>0.53055555555555556</v>
      </c>
      <c r="U175" s="129">
        <v>0.57013888888888886</v>
      </c>
      <c r="V175" s="142">
        <f t="shared" ref="V175:V181" si="137">U175-T175</f>
        <v>3.9583333333333304E-2</v>
      </c>
      <c r="W175" s="141">
        <f>IF(V175="","",IF(SUM(V175-ref!E$38)&gt;0,0,IF(V175=0, "0:00", SUM(V175-ref!E$38))))</f>
        <v>0</v>
      </c>
      <c r="X175" s="136"/>
      <c r="Y175" s="92"/>
      <c r="Z175" s="247"/>
      <c r="AA175" s="142">
        <f>Z175-Y175</f>
        <v>0</v>
      </c>
      <c r="AB175" s="244" t="str">
        <f>IF(AA175="","",IF(SUM(AA175-ref!E$38)&gt;0,0,IF(AA175=0, "0:00", SUM(AA175-ref!E$38))))</f>
        <v>0:00</v>
      </c>
      <c r="AC175" s="29"/>
      <c r="AD175" s="106"/>
      <c r="AE175" s="111">
        <f>SUM(AF175:AF181)</f>
        <v>5</v>
      </c>
      <c r="AF175" s="77">
        <f t="shared" ref="AF175:AF181" si="138">IF(AND(H175&lt;&gt;"",J175&lt;&gt;""),1,0+OR(N(J174)&lt;N(H174),F175="récupération",F175="congé 1 jour",F175="congé 1/2 jour ",F175="congé 5h24",F175="arrêt maladie",F175="arrêt travail",F175="férié ",F175="congé parentale",F175="congé de naissance"))</f>
        <v>1</v>
      </c>
      <c r="AG175" s="19"/>
      <c r="AH175" s="176" t="s">
        <v>71</v>
      </c>
      <c r="AI175" s="54" t="s">
        <v>68</v>
      </c>
      <c r="AJ175" s="177" t="s">
        <v>72</v>
      </c>
      <c r="AK175" s="55" cm="1">
        <f t="array" ref="AK175">IF(ISNUMBER(G176),G176-_xlfn.AGGREGATE(14,6,(K$4:K175&lt;G176)*K$4:K175,1),"")</f>
        <v>0.65694444444670808</v>
      </c>
      <c r="AL175" s="20">
        <f>IF(ISNUMBER(AK175),ABS(IF(SUM(AK175-ref!E$9)&gt;0,0,SUM(AK175-ref!E$9))),"")</f>
        <v>0</v>
      </c>
      <c r="AQ175"/>
    </row>
    <row r="176" spans="2:43" x14ac:dyDescent="0.25">
      <c r="B176" s="79" t="s">
        <v>1</v>
      </c>
      <c r="C176" s="90" t="s">
        <v>20</v>
      </c>
      <c r="D176" s="187"/>
      <c r="E176" s="192">
        <f t="shared" ref="E176:E181" si="139">E175+1</f>
        <v>43950</v>
      </c>
      <c r="F176" s="190" t="s">
        <v>20</v>
      </c>
      <c r="G176" s="155">
        <f t="shared" si="135"/>
        <v>43950.375</v>
      </c>
      <c r="H176" s="29">
        <v>0.375</v>
      </c>
      <c r="I176" s="23">
        <f t="shared" ref="I176:I181" si="140">SUM(V176+AA176+AC176)</f>
        <v>4.513888888888884E-2</v>
      </c>
      <c r="J176" s="29">
        <v>0.75555555555555554</v>
      </c>
      <c r="K176" s="46">
        <f t="shared" si="136"/>
        <v>43950.755555555559</v>
      </c>
      <c r="L176" s="21">
        <f>IF(OR(F176="télétravail",F176="férié travaillé",F176="travail"),(J176-H176+IF(H176&gt;J176,1)-I176),INDEX(ref!$E$22:'ref'!$E$37,MATCH(F176,gerald3,0)))</f>
        <v>0.3354166666666667</v>
      </c>
      <c r="M176" s="13">
        <f>IF(SUM(L176-ref!E$8)&lt;0,0,SUM(L176-ref!E$8))</f>
        <v>0</v>
      </c>
      <c r="N176" s="252">
        <f>L176-(hs!D175+hs!F175+hs!H175+hs!J175)</f>
        <v>-4.513888888888884E-2</v>
      </c>
      <c r="O176" s="8">
        <f>IF(OR(F176="férié travaillé",F176="travail",F176="asa",F176="rtt"),J176-H176+IF(H176&gt;J176,1),INDEX(ref!$E$22:'ref'!$E$37,MATCH(F176,gerald2,0)))</f>
        <v>0.38055555555555554</v>
      </c>
      <c r="P176" s="14">
        <f>IF(SUM(O176-ref!E$4)&lt;0,0,SUM(O176-ref!E$4))</f>
        <v>0</v>
      </c>
      <c r="Q176" s="24">
        <f t="shared" ref="Q176:Q181" si="141">Q175+L176</f>
        <v>0.63750000000000007</v>
      </c>
      <c r="S176" s="137"/>
      <c r="T176" s="92">
        <v>0.5180555555555556</v>
      </c>
      <c r="U176" s="129">
        <v>0.56319444444444444</v>
      </c>
      <c r="V176" s="142">
        <f t="shared" si="137"/>
        <v>4.513888888888884E-2</v>
      </c>
      <c r="W176" s="141">
        <f>IF(V176="","",IF(SUM(V176-ref!E$38)&gt;0,0,IF(V176=0, "0:00", SUM(V176-ref!E$38))))</f>
        <v>0</v>
      </c>
      <c r="X176" s="137"/>
      <c r="Y176" s="92"/>
      <c r="Z176" s="247"/>
      <c r="AA176" s="142">
        <f t="shared" ref="AA176:AA181" si="142">Z176-Y176</f>
        <v>0</v>
      </c>
      <c r="AB176" s="245" t="str">
        <f>IF(AA176="","",IF(SUM(AA176-ref!E$38)&gt;0,0,IF(AA176=0, "0:00", SUM(AA176-ref!E$38))))</f>
        <v>0:00</v>
      </c>
      <c r="AC176" s="29"/>
      <c r="AD176" s="106"/>
      <c r="AE176" s="112">
        <f>IF(SUM(AE175-ref!E$7)&lt;0,0,SUM(AE175-ref!E$7))</f>
        <v>0</v>
      </c>
      <c r="AF176" s="77">
        <f t="shared" si="138"/>
        <v>1</v>
      </c>
      <c r="AG176" s="19"/>
      <c r="AH176" s="178" t="s">
        <v>72</v>
      </c>
      <c r="AI176" s="54" t="s">
        <v>68</v>
      </c>
      <c r="AJ176" s="177" t="s">
        <v>73</v>
      </c>
      <c r="AK176" s="55" t="str" cm="1">
        <f t="array" ref="AK176">IF(ISNUMBER(G177),G177-_xlfn.AGGREGATE(14,6,(K$4:K176&lt;G177)*K$4:K176,1),"")</f>
        <v/>
      </c>
      <c r="AL176" s="20" t="str">
        <f>IF(ISNUMBER(AK176),ABS(IF(SUM(AK176-ref!E$9)&gt;0,0,SUM(AK176-ref!E$9))),"")</f>
        <v/>
      </c>
      <c r="AQ176"/>
    </row>
    <row r="177" spans="2:43" x14ac:dyDescent="0.25">
      <c r="B177" s="80">
        <v>29</v>
      </c>
      <c r="C177" s="90" t="s">
        <v>20</v>
      </c>
      <c r="D177" s="187"/>
      <c r="E177" s="192">
        <f t="shared" si="139"/>
        <v>43951</v>
      </c>
      <c r="F177" s="190" t="s">
        <v>26</v>
      </c>
      <c r="G177" s="155" t="str">
        <f t="shared" si="135"/>
        <v/>
      </c>
      <c r="H177" s="29"/>
      <c r="I177" s="23">
        <f t="shared" si="140"/>
        <v>0</v>
      </c>
      <c r="J177" s="29"/>
      <c r="K177" s="46" t="str">
        <f t="shared" si="136"/>
        <v/>
      </c>
      <c r="L177" s="21">
        <f>IF(OR(F177="télétravail",F177="férié travaillé",F177="travail"),(J177-H177+IF(H177&gt;J177,1)-I177),INDEX(ref!$E$22:'ref'!$E$37,MATCH(F177,gerald3,0)))</f>
        <v>0.29166666666666669</v>
      </c>
      <c r="M177" s="13">
        <f>IF(SUM(L177-ref!E$8)&lt;0,0,SUM(L177-ref!E$8))</f>
        <v>0</v>
      </c>
      <c r="N177" s="252">
        <f>L177-(hs!D176+hs!F176+hs!H176+hs!J176)</f>
        <v>0.29166666666666669</v>
      </c>
      <c r="O177" s="8">
        <f>IF(OR(F177="férié travaillé",F177="travail",F177="asa",F177="rtt"),J177-H177+IF(H177&gt;J177,1),INDEX(ref!$E$22:'ref'!$E$37,MATCH(F177,gerald2,0)))</f>
        <v>0.29166666666666669</v>
      </c>
      <c r="P177" s="14">
        <f>IF(SUM(O177-ref!E$4)&lt;0,0,SUM(O177-ref!E$4))</f>
        <v>0</v>
      </c>
      <c r="Q177" s="24">
        <f t="shared" si="141"/>
        <v>0.9291666666666667</v>
      </c>
      <c r="S177" s="137"/>
      <c r="T177" s="92"/>
      <c r="U177" s="129"/>
      <c r="V177" s="142">
        <f t="shared" si="137"/>
        <v>0</v>
      </c>
      <c r="W177" s="141" t="str">
        <f>IF(V177="","",IF(SUM(V177-ref!E$38)&gt;0,0,IF(V177=0, "0:00", SUM(V177-ref!E$38))))</f>
        <v>0:00</v>
      </c>
      <c r="X177" s="137"/>
      <c r="Y177" s="92"/>
      <c r="Z177" s="247"/>
      <c r="AA177" s="142">
        <f t="shared" si="142"/>
        <v>0</v>
      </c>
      <c r="AB177" s="245" t="str">
        <f>IF(AA177="","",IF(SUM(AA177-ref!E$38)&gt;0,0,IF(AA177=0, "0:00", SUM(AA177-ref!E$38))))</f>
        <v>0:00</v>
      </c>
      <c r="AC177" s="29"/>
      <c r="AD177" s="106"/>
      <c r="AE177" s="113" t="s">
        <v>29</v>
      </c>
      <c r="AF177" s="77">
        <f t="shared" si="138"/>
        <v>1</v>
      </c>
      <c r="AG177" s="19"/>
      <c r="AH177" s="178" t="s">
        <v>73</v>
      </c>
      <c r="AI177" s="54" t="s">
        <v>68</v>
      </c>
      <c r="AJ177" s="177" t="s">
        <v>74</v>
      </c>
      <c r="AK177" s="55" cm="1">
        <f t="array" ref="AK177">IF(ISNUMBER(G178),G178-_xlfn.AGGREGATE(14,6,(K$4:K177&lt;G178)*K$4:K177,1),"")</f>
        <v>1.6243055555532919</v>
      </c>
      <c r="AL177" s="20">
        <f>IF(ISNUMBER(AK177),ABS(IF(SUM(AK177-ref!E$9)&gt;0,0,SUM(AK177-ref!E$9))),"")</f>
        <v>0</v>
      </c>
      <c r="AQ177"/>
    </row>
    <row r="178" spans="2:43" x14ac:dyDescent="0.25">
      <c r="B178" s="79" t="s">
        <v>58</v>
      </c>
      <c r="C178" s="90" t="s">
        <v>20</v>
      </c>
      <c r="D178" s="187"/>
      <c r="E178" s="192">
        <f t="shared" si="139"/>
        <v>43952</v>
      </c>
      <c r="F178" s="190" t="s">
        <v>20</v>
      </c>
      <c r="G178" s="155">
        <f t="shared" si="135"/>
        <v>43952.379861111112</v>
      </c>
      <c r="H178" s="29">
        <v>0.37986111111111115</v>
      </c>
      <c r="I178" s="23">
        <f t="shared" si="140"/>
        <v>3.5416666666666763E-2</v>
      </c>
      <c r="J178" s="29">
        <v>0.76736111111111116</v>
      </c>
      <c r="K178" s="46">
        <f t="shared" si="136"/>
        <v>43952.767361111109</v>
      </c>
      <c r="L178" s="21">
        <f>IF(OR(F178="télétravail",F178="férié travaillé",F178="travail"),(J178-H178+IF(H178&gt;J178,1)-I178),INDEX(ref!$E$22:'ref'!$E$37,MATCH(F178,gerald3,0)))</f>
        <v>0.35208333333333325</v>
      </c>
      <c r="M178" s="13">
        <f>IF(SUM(L178-ref!E$8)&lt;0,0,SUM(L178-ref!E$8))</f>
        <v>0</v>
      </c>
      <c r="N178" s="252">
        <f>L178-(hs!D177+hs!F177+hs!H177+hs!J177)</f>
        <v>-3.5416666666666763E-2</v>
      </c>
      <c r="O178" s="8">
        <f>IF(OR(F178="férié travaillé",F178="travail",F178="asa",F178="rtt"),J178-H178+IF(H178&gt;J178,1),INDEX(ref!$E$22:'ref'!$E$37,MATCH(F178,gerald2,0)))</f>
        <v>0.38750000000000001</v>
      </c>
      <c r="P178" s="14">
        <f>IF(SUM(O178-ref!E$4)&lt;0,0,SUM(O178-ref!E$4))</f>
        <v>0</v>
      </c>
      <c r="Q178" s="24">
        <f t="shared" si="141"/>
        <v>1.28125</v>
      </c>
      <c r="S178" s="137"/>
      <c r="T178" s="92">
        <v>0.54097222222222219</v>
      </c>
      <c r="U178" s="129">
        <v>0.57638888888888895</v>
      </c>
      <c r="V178" s="142">
        <f t="shared" si="137"/>
        <v>3.5416666666666763E-2</v>
      </c>
      <c r="W178" s="141">
        <f>IF(V178="","",IF(SUM(V178-ref!E$38)&gt;0,0,IF(V178=0, "0:00", SUM(V178-ref!E$38))))</f>
        <v>0</v>
      </c>
      <c r="X178" s="137"/>
      <c r="Y178" s="92"/>
      <c r="Z178" s="247"/>
      <c r="AA178" s="142">
        <f t="shared" si="142"/>
        <v>0</v>
      </c>
      <c r="AB178" s="245" t="str">
        <f>IF(AA178="","",IF(SUM(AA178-ref!E$38)&gt;0,0,IF(AA178=0, "0:00", SUM(AA178-ref!E$38))))</f>
        <v>0:00</v>
      </c>
      <c r="AC178" s="29"/>
      <c r="AD178" s="106"/>
      <c r="AE178" s="114">
        <f>Q181</f>
        <v>1.6194444444444445</v>
      </c>
      <c r="AF178" s="77">
        <f t="shared" si="138"/>
        <v>1</v>
      </c>
      <c r="AG178" s="19"/>
      <c r="AH178" s="178" t="s">
        <v>74</v>
      </c>
      <c r="AI178" s="54" t="s">
        <v>68</v>
      </c>
      <c r="AJ178" s="177" t="s">
        <v>75</v>
      </c>
      <c r="AK178" s="55" cm="1">
        <f t="array" ref="AK178">IF(ISNUMBER(G179),G179-_xlfn.AGGREGATE(14,6,(K$4:K178&lt;G179)*K$4:K178,1),"")</f>
        <v>0.60902777777664596</v>
      </c>
      <c r="AL178" s="20">
        <f>IF(ISNUMBER(AK178),ABS(IF(SUM(AK178-ref!E$9)&gt;0,0,SUM(AK178-ref!E$9))),"")</f>
        <v>0</v>
      </c>
      <c r="AQ178"/>
    </row>
    <row r="179" spans="2:43" x14ac:dyDescent="0.25">
      <c r="B179" s="81">
        <v>4</v>
      </c>
      <c r="C179" s="90" t="s">
        <v>20</v>
      </c>
      <c r="D179" s="187"/>
      <c r="E179" s="192">
        <f t="shared" si="139"/>
        <v>43953</v>
      </c>
      <c r="F179" s="190" t="s">
        <v>20</v>
      </c>
      <c r="G179" s="155">
        <f t="shared" si="135"/>
        <v>43953.376388888886</v>
      </c>
      <c r="H179" s="29">
        <v>0.37638888888888888</v>
      </c>
      <c r="I179" s="23">
        <f t="shared" si="140"/>
        <v>3.7500000000000089E-2</v>
      </c>
      <c r="J179" s="29">
        <v>0.75208333333333333</v>
      </c>
      <c r="K179" s="46">
        <f t="shared" si="136"/>
        <v>43953.752083333333</v>
      </c>
      <c r="L179" s="21">
        <f>IF(OR(F179="télétravail",F179="férié travaillé",F179="travail"),(J179-H179+IF(H179&gt;J179,1)-I179),INDEX(ref!$E$22:'ref'!$E$37,MATCH(F179,gerald3,0)))</f>
        <v>0.33819444444444435</v>
      </c>
      <c r="M179" s="13">
        <f>IF(SUM(L179-ref!E$8)&lt;0,0,SUM(L179-ref!E$8))</f>
        <v>0</v>
      </c>
      <c r="N179" s="252">
        <f>L179-(hs!D178+hs!F178+hs!H178+hs!J178)</f>
        <v>-3.7500000000000089E-2</v>
      </c>
      <c r="O179" s="8">
        <f>IF(OR(F179="férié travaillé",F179="travail",F179="asa",F179="rtt"),J179-H179+IF(H179&gt;J179,1),INDEX(ref!$E$22:'ref'!$E$37,MATCH(F179,gerald2,0)))</f>
        <v>0.37569444444444444</v>
      </c>
      <c r="P179" s="14">
        <f>IF(SUM(O179-ref!E$4)&lt;0,0,SUM(O179-ref!E$4))</f>
        <v>0</v>
      </c>
      <c r="Q179" s="24">
        <f t="shared" si="141"/>
        <v>1.6194444444444445</v>
      </c>
      <c r="S179" s="137"/>
      <c r="T179" s="92">
        <v>0.5131944444444444</v>
      </c>
      <c r="U179" s="129">
        <v>0.55069444444444449</v>
      </c>
      <c r="V179" s="142">
        <f t="shared" si="137"/>
        <v>3.7500000000000089E-2</v>
      </c>
      <c r="W179" s="141">
        <f>IF(V179="","",IF(SUM(V179-ref!E$38)&gt;0,0,IF(V179=0, "0:00", SUM(V179-ref!E$38))))</f>
        <v>0</v>
      </c>
      <c r="X179" s="137"/>
      <c r="Y179" s="92"/>
      <c r="Z179" s="247"/>
      <c r="AA179" s="142">
        <f t="shared" si="142"/>
        <v>0</v>
      </c>
      <c r="AB179" s="245" t="str">
        <f>IF(AA179="","",IF(SUM(AA179-ref!E$38)&gt;0,0,IF(AA179=0, "0:00", SUM(AA179-ref!E$38))))</f>
        <v>0:00</v>
      </c>
      <c r="AC179" s="29"/>
      <c r="AD179" s="106"/>
      <c r="AE179" s="117" t="s">
        <v>47</v>
      </c>
      <c r="AF179" s="77">
        <f t="shared" si="138"/>
        <v>1</v>
      </c>
      <c r="AG179" s="19"/>
      <c r="AH179" s="178" t="s">
        <v>75</v>
      </c>
      <c r="AI179" s="54" t="s">
        <v>68</v>
      </c>
      <c r="AJ179" s="177" t="s">
        <v>76</v>
      </c>
      <c r="AK179" s="55" t="str" cm="1">
        <f t="array" ref="AK179">IF(ISNUMBER(G180),G180-_xlfn.AGGREGATE(14,6,(K$4:K179&lt;G180)*K$4:K179,1),"")</f>
        <v/>
      </c>
      <c r="AL179" s="20" t="str">
        <f>IF(ISNUMBER(AK179),ABS(IF(SUM(AK179-ref!E$9)&gt;0,0,SUM(AK179-ref!E$9))),"")</f>
        <v/>
      </c>
      <c r="AQ179"/>
    </row>
    <row r="180" spans="2:43" ht="15.75" thickBot="1" x14ac:dyDescent="0.3">
      <c r="B180"/>
      <c r="C180" s="89"/>
      <c r="D180" s="89"/>
      <c r="E180" s="192">
        <f t="shared" si="139"/>
        <v>43954</v>
      </c>
      <c r="F180" s="190" t="s">
        <v>19</v>
      </c>
      <c r="G180" s="155" t="str">
        <f t="shared" si="135"/>
        <v/>
      </c>
      <c r="H180" s="29"/>
      <c r="I180" s="23">
        <f t="shared" si="140"/>
        <v>0</v>
      </c>
      <c r="J180" s="29"/>
      <c r="K180" s="46" t="str">
        <f t="shared" si="136"/>
        <v/>
      </c>
      <c r="L180" s="21">
        <f>IF(OR(F180="télétravail",F180="férié travaillé",F180="travail"),(J180-H180+IF(H180&gt;J180,1)-I180),INDEX(ref!$E$22:'ref'!$E$37,MATCH(F180,gerald3,0)))</f>
        <v>0</v>
      </c>
      <c r="M180" s="13">
        <f>IF(SUM(L180-ref!E$8)&lt;0,0,SUM(L180-ref!E$8))</f>
        <v>0</v>
      </c>
      <c r="N180" s="252">
        <f>L180-(hs!D179+hs!F179+hs!H179+hs!J179)</f>
        <v>0</v>
      </c>
      <c r="O180" s="8">
        <f>IF(OR(F180="férié travaillé",F180="travail",F180="asa",F180="rtt"),J180-H180+IF(H180&gt;J180,1),INDEX(ref!$E$22:'ref'!$E$37,MATCH(F180,gerald2,0)))</f>
        <v>0</v>
      </c>
      <c r="P180" s="14">
        <f>IF(SUM(O180-ref!E$4)&lt;0,0,SUM(O180-ref!E$4))</f>
        <v>0</v>
      </c>
      <c r="Q180" s="97">
        <f t="shared" si="141"/>
        <v>1.6194444444444445</v>
      </c>
      <c r="S180" s="137"/>
      <c r="T180" s="92"/>
      <c r="U180" s="129"/>
      <c r="V180" s="142">
        <f t="shared" si="137"/>
        <v>0</v>
      </c>
      <c r="W180" s="141" t="str">
        <f>IF(V180="","",IF(SUM(V180-ref!E$38)&gt;0,0,IF(V180=0, "0:00", SUM(V180-ref!E$38))))</f>
        <v>0:00</v>
      </c>
      <c r="X180" s="137"/>
      <c r="Y180" s="92"/>
      <c r="Z180" s="247"/>
      <c r="AA180" s="142">
        <f t="shared" si="142"/>
        <v>0</v>
      </c>
      <c r="AB180" s="245" t="str">
        <f>IF(AA180="","",IF(SUM(AA180-ref!E$38)&gt;0,0,IF(AA180=0, "0:00", SUM(AA180-ref!E$38))))</f>
        <v>0:00</v>
      </c>
      <c r="AC180" s="29"/>
      <c r="AD180" s="106"/>
      <c r="AE180" s="118">
        <f>ref!E$11</f>
        <v>2</v>
      </c>
      <c r="AF180" s="77">
        <f t="shared" si="138"/>
        <v>0</v>
      </c>
      <c r="AG180" s="19"/>
      <c r="AH180" s="178" t="s">
        <v>76</v>
      </c>
      <c r="AI180" s="54" t="s">
        <v>68</v>
      </c>
      <c r="AJ180" s="177" t="s">
        <v>77</v>
      </c>
      <c r="AK180" s="55" t="str" cm="1">
        <f t="array" ref="AK180">IF(ISNUMBER(G181),G181-_xlfn.AGGREGATE(14,6,(K$4:K180&lt;G181)*K$4:K180,1),"")</f>
        <v/>
      </c>
      <c r="AL180" s="20" t="str">
        <f>IF(ISNUMBER(AK180),ABS(IF(SUM(AK180-ref!E$9)&gt;0,0,SUM(AK180-ref!E$9))),"")</f>
        <v/>
      </c>
      <c r="AQ180"/>
    </row>
    <row r="181" spans="2:43" ht="15.75" thickBot="1" x14ac:dyDescent="0.3">
      <c r="B181"/>
      <c r="C181" s="89"/>
      <c r="D181" s="89"/>
      <c r="E181" s="192">
        <f t="shared" si="139"/>
        <v>43955</v>
      </c>
      <c r="F181" s="191" t="s">
        <v>19</v>
      </c>
      <c r="G181" s="155" t="str">
        <f t="shared" si="135"/>
        <v/>
      </c>
      <c r="H181" s="29"/>
      <c r="I181" s="23">
        <f t="shared" si="140"/>
        <v>0</v>
      </c>
      <c r="J181" s="29"/>
      <c r="K181" s="46" t="str">
        <f t="shared" si="136"/>
        <v/>
      </c>
      <c r="L181" s="21">
        <f>IF(OR(F181="télétravail",F181="férié travaillé",F181="travail"),(J181-H181+IF(H181&gt;J181,1)-I181),INDEX(ref!$E$22:'ref'!$E$37,MATCH(F181,gerald3,0)))</f>
        <v>0</v>
      </c>
      <c r="M181" s="13">
        <f>IF(SUM(L181-ref!E$8)&lt;0,0,SUM(L181-ref!E$8))</f>
        <v>0</v>
      </c>
      <c r="N181" s="252">
        <f>L181-(hs!D180+hs!F180+hs!H180+hs!J180)</f>
        <v>0</v>
      </c>
      <c r="O181" s="8">
        <f>IF(OR(F181="férié travaillé",F181="travail",F181="asa",F181="rtt"),J181-H181+IF(H181&gt;J181,1),INDEX(ref!$E$22:'ref'!$E$37,MATCH(F181,gerald2,0)))</f>
        <v>0</v>
      </c>
      <c r="P181" s="14">
        <f>IF(SUM(O181-ref!E$4)&lt;0,0,SUM(O181-ref!E$4))</f>
        <v>0</v>
      </c>
      <c r="Q181" s="94">
        <f t="shared" si="141"/>
        <v>1.6194444444444445</v>
      </c>
      <c r="S181" s="138"/>
      <c r="T181" s="92"/>
      <c r="U181" s="129"/>
      <c r="V181" s="142">
        <f t="shared" si="137"/>
        <v>0</v>
      </c>
      <c r="W181" s="141" t="str">
        <f>IF(V181="","",IF(SUM(V181-ref!E$38)&gt;0,0,IF(V181=0, "0:00", SUM(V181-ref!E$38))))</f>
        <v>0:00</v>
      </c>
      <c r="X181" s="138"/>
      <c r="Y181" s="92"/>
      <c r="Z181" s="247"/>
      <c r="AA181" s="142">
        <f t="shared" si="142"/>
        <v>0</v>
      </c>
      <c r="AB181" s="246" t="str">
        <f>IF(AA181="","",IF(SUM(AA181-ref!E$38)&gt;0,0,IF(AA181=0, "0:00", SUM(AA181-ref!E$38))))</f>
        <v>0:00</v>
      </c>
      <c r="AC181" s="29"/>
      <c r="AD181" s="106"/>
      <c r="AE181" s="110">
        <f>IF(SUM(Q181-ref!E$11)&lt;0,0,SUM(Q181-ref!E$11))</f>
        <v>0</v>
      </c>
      <c r="AF181" s="77">
        <f t="shared" si="138"/>
        <v>0</v>
      </c>
      <c r="AG181" s="19"/>
      <c r="AQ181"/>
    </row>
    <row r="182" spans="2:43" x14ac:dyDescent="0.25">
      <c r="C182" s="89"/>
      <c r="D182" s="89"/>
      <c r="F182" s="157"/>
      <c r="W182" s="74"/>
      <c r="X182" s="2"/>
      <c r="Z182"/>
      <c r="AA182" s="2"/>
      <c r="AB182" s="2"/>
      <c r="AC182" s="127"/>
      <c r="AQ182"/>
    </row>
    <row r="183" spans="2:43" x14ac:dyDescent="0.25">
      <c r="C183" s="89"/>
      <c r="D183" s="89"/>
      <c r="F183" s="157"/>
      <c r="X183" s="2"/>
      <c r="Z183"/>
      <c r="AA183" s="2"/>
      <c r="AB183" s="2"/>
      <c r="AC183" s="127"/>
      <c r="AQ183"/>
    </row>
    <row r="184" spans="2:43" ht="15.75" thickBot="1" x14ac:dyDescent="0.3">
      <c r="C184" s="89"/>
      <c r="D184" s="89"/>
      <c r="F184" s="157"/>
      <c r="W184" s="74"/>
      <c r="X184" s="2"/>
      <c r="Z184"/>
      <c r="AA184" s="2"/>
      <c r="AB184" s="2"/>
      <c r="AC184" s="127"/>
      <c r="AQ184"/>
    </row>
    <row r="185" spans="2:43" x14ac:dyDescent="0.25">
      <c r="B185" s="78" t="s">
        <v>1</v>
      </c>
      <c r="C185" s="88" t="s">
        <v>20</v>
      </c>
      <c r="D185" s="88"/>
      <c r="E185" s="154">
        <f>DATE(ref!E$2,B189,B187)</f>
        <v>43956</v>
      </c>
      <c r="F185" s="158" t="s">
        <v>20</v>
      </c>
      <c r="G185" s="155">
        <f t="shared" ref="G185:G191" si="143">IF(AND(J185="",H185=""),"",E185+H185)</f>
        <v>43956.37777777778</v>
      </c>
      <c r="H185" s="29">
        <v>0.37777777777777777</v>
      </c>
      <c r="I185" s="23">
        <f>SUM(V185+AA185+AC185)</f>
        <v>3.472222222222221E-2</v>
      </c>
      <c r="J185" s="29">
        <v>0.72013888888888899</v>
      </c>
      <c r="K185" s="46">
        <f t="shared" ref="K185:K191" si="144">IF(AND(H185="",J185=""),"",E185+J185+(H185&gt;J185))</f>
        <v>43956.720138888886</v>
      </c>
      <c r="L185" s="21">
        <f>IF(OR(F185="télétravail",F185="férié travaillé",F185="travail"),(J185-H185+IF(H185&gt;J185,1)-I185),INDEX(ref!$E$22:'ref'!$E$37,MATCH(F185,gerald3,0)))</f>
        <v>0.30763888888888902</v>
      </c>
      <c r="M185" s="13">
        <f>IF(SUM(L185-ref!E$8)&lt;0,0,SUM(L185-ref!E$8))</f>
        <v>0</v>
      </c>
      <c r="N185" s="252">
        <f>L185-(hs!D184+hs!F184+hs!H184+hs!J184)</f>
        <v>-3.472222222222221E-2</v>
      </c>
      <c r="O185" s="8">
        <f>IF(OR(F185="férié travaillé",F185="travail",F185="asa",F185="rtt"),J185-H185+IF(H185&gt;J185,1),INDEX(ref!$E$22:'ref'!$E$37,MATCH(F185,gerald2,0)))</f>
        <v>0.34236111111111123</v>
      </c>
      <c r="P185" s="14">
        <f>IF(SUM(O185-ref!E$4)&lt;0,0,SUM(O185-ref!E$4))</f>
        <v>0</v>
      </c>
      <c r="Q185" s="21">
        <f>L185</f>
        <v>0.30763888888888902</v>
      </c>
      <c r="S185" s="136"/>
      <c r="T185" s="92">
        <v>0.53125</v>
      </c>
      <c r="U185" s="129">
        <v>0.56597222222222221</v>
      </c>
      <c r="V185" s="142">
        <f t="shared" ref="V185:V191" si="145">U185-T185</f>
        <v>3.472222222222221E-2</v>
      </c>
      <c r="W185" s="141">
        <f>IF(V185="","",IF(SUM(V185-ref!E$38)&gt;0,0,IF(V185=0, "0:00", SUM(V185-ref!E$38))))</f>
        <v>0</v>
      </c>
      <c r="X185" s="136"/>
      <c r="Y185" s="92"/>
      <c r="Z185" s="247"/>
      <c r="AA185" s="142">
        <f>Z185-Y185</f>
        <v>0</v>
      </c>
      <c r="AB185" s="244" t="str">
        <f>IF(AA185="","",IF(SUM(AA185-ref!E$38)&gt;0,0,IF(AA185=0, "0:00", SUM(AA185-ref!E$38))))</f>
        <v>0:00</v>
      </c>
      <c r="AC185" s="29"/>
      <c r="AD185" s="106"/>
      <c r="AE185" s="111">
        <f>SUM(AF185:AF191)</f>
        <v>5</v>
      </c>
      <c r="AF185" s="77">
        <f>IF(AND(H185&lt;&gt;"",J185&lt;&gt;""),1,0+OR(N(J183)&lt;N(H183),F185="récupération",F185="congé 1 jour",F185="congé 1/2 jour ",F185="congé 5h24",F185="arrêt maladie",F185="arrêt travail",F185="férié ",F185="congé parentale",F185="congé de naissance"))</f>
        <v>1</v>
      </c>
      <c r="AG185" s="19"/>
      <c r="AH185" s="176" t="s">
        <v>71</v>
      </c>
      <c r="AI185" s="54" t="s">
        <v>68</v>
      </c>
      <c r="AJ185" s="177" t="s">
        <v>72</v>
      </c>
      <c r="AK185" s="55" cm="1">
        <f t="array" ref="AK185">IF(ISNUMBER(G186),G186-_xlfn.AGGREGATE(14,6,(K$4:K185&lt;G186)*K$4:K185,1),"")</f>
        <v>0.65972222222626442</v>
      </c>
      <c r="AL185" s="20">
        <f>IF(ISNUMBER(AK185),ABS(IF(SUM(AK185-ref!E$9)&gt;0,0,SUM(AK185-ref!E$9))),"")</f>
        <v>0</v>
      </c>
      <c r="AQ185"/>
    </row>
    <row r="186" spans="2:43" x14ac:dyDescent="0.25">
      <c r="B186" s="79" t="s">
        <v>1</v>
      </c>
      <c r="C186" s="88" t="s">
        <v>20</v>
      </c>
      <c r="D186" s="88"/>
      <c r="E186" s="154">
        <f t="shared" ref="E186:E191" si="146">E185+1</f>
        <v>43957</v>
      </c>
      <c r="F186" s="159" t="s">
        <v>20</v>
      </c>
      <c r="G186" s="155">
        <f t="shared" si="143"/>
        <v>43957.379861111112</v>
      </c>
      <c r="H186" s="29">
        <v>0.37986111111111115</v>
      </c>
      <c r="I186" s="23">
        <f t="shared" ref="I186:I191" si="147">SUM(V186+AA186+AC186)</f>
        <v>3.3333333333333326E-2</v>
      </c>
      <c r="J186" s="29">
        <v>0.76944444444444449</v>
      </c>
      <c r="K186" s="46">
        <f t="shared" si="144"/>
        <v>43957.769444444442</v>
      </c>
      <c r="L186" s="21">
        <f>IF(OR(F186="télétravail",F186="férié travaillé",F186="travail"),(J186-H186+IF(H186&gt;J186,1)-I186),INDEX(ref!$E$22:'ref'!$E$37,MATCH(F186,gerald3,0)))</f>
        <v>0.35625000000000001</v>
      </c>
      <c r="M186" s="13">
        <f>IF(SUM(L186-ref!E$8)&lt;0,0,SUM(L186-ref!E$8))</f>
        <v>0</v>
      </c>
      <c r="N186" s="252">
        <f>L186-(hs!D185+hs!F185+hs!H185+hs!J185)</f>
        <v>-3.3333333333333326E-2</v>
      </c>
      <c r="O186" s="8">
        <f>IF(OR(F186="férié travaillé",F186="travail",F186="asa",F186="rtt"),J186-H186+IF(H186&gt;J186,1),INDEX(ref!$E$22:'ref'!$E$37,MATCH(F186,gerald2,0)))</f>
        <v>0.38958333333333334</v>
      </c>
      <c r="P186" s="14">
        <f>IF(SUM(O186-ref!E$4)&lt;0,0,SUM(O186-ref!E$4))</f>
        <v>0</v>
      </c>
      <c r="Q186" s="24">
        <f t="shared" ref="Q186:Q191" si="148">Q185+L186</f>
        <v>0.66388888888888897</v>
      </c>
      <c r="S186" s="137"/>
      <c r="T186" s="92">
        <v>0.51944444444444449</v>
      </c>
      <c r="U186" s="129">
        <v>0.55277777777777781</v>
      </c>
      <c r="V186" s="142">
        <f t="shared" si="145"/>
        <v>3.3333333333333326E-2</v>
      </c>
      <c r="W186" s="141">
        <f>IF(V186="","",IF(SUM(V186-ref!E$38)&gt;0,0,IF(V186=0, "0:00", SUM(V186-ref!E$38))))</f>
        <v>0</v>
      </c>
      <c r="X186" s="137"/>
      <c r="Y186" s="92"/>
      <c r="Z186" s="247"/>
      <c r="AA186" s="142">
        <f t="shared" ref="AA186:AA191" si="149">Z186-Y186</f>
        <v>0</v>
      </c>
      <c r="AB186" s="245" t="str">
        <f>IF(AA186="","",IF(SUM(AA186-ref!E$38)&gt;0,0,IF(AA186=0, "0:00", SUM(AA186-ref!E$38))))</f>
        <v>0:00</v>
      </c>
      <c r="AC186" s="29"/>
      <c r="AD186" s="106"/>
      <c r="AE186" s="112">
        <f>IF(SUM(AE185-ref!E$7)&lt;0,0,SUM(AE185-ref!E$7))</f>
        <v>0</v>
      </c>
      <c r="AF186" s="77">
        <f t="shared" ref="AF186:AF191" si="150">IF(AND(H186&lt;&gt;"",J186&lt;&gt;""),1,0+OR(N(J185)&lt;N(H185),F186="récupération",F186="congé 1 jour",F186="congé 1/2 jour ",F186="congé 5h24",F186="arrêt maladie",F186="arrêt travail",F186="férié ",F186="congé parentale",F186="congé de naissance"))</f>
        <v>1</v>
      </c>
      <c r="AG186" s="19"/>
      <c r="AH186" s="178" t="s">
        <v>72</v>
      </c>
      <c r="AI186" s="54" t="s">
        <v>68</v>
      </c>
      <c r="AJ186" s="177" t="s">
        <v>73</v>
      </c>
      <c r="AK186" s="55" t="str" cm="1">
        <f t="array" ref="AK186">IF(ISNUMBER(G187),G187-_xlfn.AGGREGATE(14,6,(K$4:K186&lt;G187)*K$4:K186,1),"")</f>
        <v/>
      </c>
      <c r="AL186" s="20" t="str">
        <f>IF(ISNUMBER(AK186),ABS(IF(SUM(AK186-ref!E$9)&gt;0,0,SUM(AK186-ref!E$9))),"")</f>
        <v/>
      </c>
      <c r="AQ186"/>
    </row>
    <row r="187" spans="2:43" x14ac:dyDescent="0.25">
      <c r="B187" s="80">
        <v>6</v>
      </c>
      <c r="C187" s="88" t="s">
        <v>20</v>
      </c>
      <c r="D187" s="88"/>
      <c r="E187" s="154">
        <f t="shared" si="146"/>
        <v>43958</v>
      </c>
      <c r="F187" s="159" t="s">
        <v>26</v>
      </c>
      <c r="G187" s="155" t="str">
        <f t="shared" si="143"/>
        <v/>
      </c>
      <c r="H187" s="29"/>
      <c r="I187" s="23">
        <f t="shared" si="147"/>
        <v>0</v>
      </c>
      <c r="J187" s="29"/>
      <c r="K187" s="46" t="str">
        <f t="shared" si="144"/>
        <v/>
      </c>
      <c r="L187" s="21">
        <f>IF(OR(F187="télétravail",F187="férié travaillé",F187="travail"),(J187-H187+IF(H187&gt;J187,1)-I187),INDEX(ref!$E$22:'ref'!$E$37,MATCH(F187,gerald3,0)))</f>
        <v>0.29166666666666669</v>
      </c>
      <c r="M187" s="13">
        <f>IF(SUM(L187-ref!E$8)&lt;0,0,SUM(L187-ref!E$8))</f>
        <v>0</v>
      </c>
      <c r="N187" s="252">
        <f>L187-(hs!D186+hs!F186+hs!H186+hs!J186)</f>
        <v>0.29166666666666669</v>
      </c>
      <c r="O187" s="8">
        <f>IF(OR(F187="férié travaillé",F187="travail",F187="asa",F187="rtt"),J187-H187+IF(H187&gt;J187,1),INDEX(ref!$E$22:'ref'!$E$37,MATCH(F187,gerald2,0)))</f>
        <v>0.29166666666666669</v>
      </c>
      <c r="P187" s="14">
        <f>IF(SUM(O187-ref!E$4)&lt;0,0,SUM(O187-ref!E$4))</f>
        <v>0</v>
      </c>
      <c r="Q187" s="24">
        <f t="shared" si="148"/>
        <v>0.95555555555555571</v>
      </c>
      <c r="S187" s="137"/>
      <c r="T187" s="92"/>
      <c r="U187" s="129"/>
      <c r="V187" s="142">
        <f t="shared" si="145"/>
        <v>0</v>
      </c>
      <c r="W187" s="141" t="str">
        <f>IF(V187="","",IF(SUM(V187-ref!E$38)&gt;0,0,IF(V187=0, "0:00", SUM(V187-ref!E$38))))</f>
        <v>0:00</v>
      </c>
      <c r="X187" s="137"/>
      <c r="Y187" s="92"/>
      <c r="Z187" s="247"/>
      <c r="AA187" s="142">
        <f t="shared" si="149"/>
        <v>0</v>
      </c>
      <c r="AB187" s="245" t="str">
        <f>IF(AA187="","",IF(SUM(AA187-ref!E$38)&gt;0,0,IF(AA187=0, "0:00", SUM(AA187-ref!E$38))))</f>
        <v>0:00</v>
      </c>
      <c r="AC187" s="29"/>
      <c r="AD187" s="106"/>
      <c r="AE187" s="113" t="s">
        <v>29</v>
      </c>
      <c r="AF187" s="77">
        <f t="shared" si="150"/>
        <v>1</v>
      </c>
      <c r="AG187" s="19"/>
      <c r="AH187" s="178" t="s">
        <v>73</v>
      </c>
      <c r="AI187" s="54" t="s">
        <v>68</v>
      </c>
      <c r="AJ187" s="177" t="s">
        <v>74</v>
      </c>
      <c r="AK187" s="55" t="str" cm="1">
        <f t="array" ref="AK187">IF(ISNUMBER(G188),G188-_xlfn.AGGREGATE(14,6,(K$4:K187&lt;G188)*K$4:K187,1),"")</f>
        <v/>
      </c>
      <c r="AL187" s="20" t="str">
        <f>IF(ISNUMBER(AK187),ABS(IF(SUM(AK187-ref!E$9)&gt;0,0,SUM(AK187-ref!E$9))),"")</f>
        <v/>
      </c>
      <c r="AQ187"/>
    </row>
    <row r="188" spans="2:43" x14ac:dyDescent="0.25">
      <c r="B188" s="79" t="s">
        <v>58</v>
      </c>
      <c r="C188" s="88" t="s">
        <v>20</v>
      </c>
      <c r="D188" s="88"/>
      <c r="E188" s="154">
        <f t="shared" si="146"/>
        <v>43959</v>
      </c>
      <c r="F188" s="159" t="s">
        <v>26</v>
      </c>
      <c r="G188" s="155" t="str">
        <f t="shared" si="143"/>
        <v/>
      </c>
      <c r="H188" s="29"/>
      <c r="I188" s="23">
        <f t="shared" si="147"/>
        <v>0</v>
      </c>
      <c r="J188" s="29"/>
      <c r="K188" s="46" t="str">
        <f t="shared" si="144"/>
        <v/>
      </c>
      <c r="L188" s="21">
        <f>IF(OR(F188="télétravail",F188="férié travaillé",F188="travail"),(J188-H188+IF(H188&gt;J188,1)-I188),INDEX(ref!$E$22:'ref'!$E$37,MATCH(F188,gerald3,0)))</f>
        <v>0.29166666666666669</v>
      </c>
      <c r="M188" s="13">
        <f>IF(SUM(L188-ref!E$8)&lt;0,0,SUM(L188-ref!E$8))</f>
        <v>0</v>
      </c>
      <c r="N188" s="252">
        <f>L188-(hs!D187+hs!F187+hs!H187+hs!J187)</f>
        <v>0.29166666666666669</v>
      </c>
      <c r="O188" s="8">
        <f>IF(OR(F188="férié travaillé",F188="travail",F188="asa",F188="rtt"),J188-H188+IF(H188&gt;J188,1),INDEX(ref!$E$22:'ref'!$E$37,MATCH(F188,gerald2,0)))</f>
        <v>0.29166666666666669</v>
      </c>
      <c r="P188" s="14">
        <f>IF(SUM(O188-ref!E$4)&lt;0,0,SUM(O188-ref!E$4))</f>
        <v>0</v>
      </c>
      <c r="Q188" s="24">
        <f t="shared" si="148"/>
        <v>1.2472222222222225</v>
      </c>
      <c r="S188" s="137"/>
      <c r="T188" s="92"/>
      <c r="U188" s="129"/>
      <c r="V188" s="142">
        <f t="shared" si="145"/>
        <v>0</v>
      </c>
      <c r="W188" s="141" t="str">
        <f>IF(V188="","",IF(SUM(V188-ref!E$38)&gt;0,0,IF(V188=0, "0:00", SUM(V188-ref!E$38))))</f>
        <v>0:00</v>
      </c>
      <c r="X188" s="137"/>
      <c r="Y188" s="92"/>
      <c r="Z188" s="247"/>
      <c r="AA188" s="142">
        <f t="shared" si="149"/>
        <v>0</v>
      </c>
      <c r="AB188" s="245" t="str">
        <f>IF(AA188="","",IF(SUM(AA188-ref!E$38)&gt;0,0,IF(AA188=0, "0:00", SUM(AA188-ref!E$38))))</f>
        <v>0:00</v>
      </c>
      <c r="AC188" s="29"/>
      <c r="AD188" s="106"/>
      <c r="AE188" s="114">
        <f>Q191</f>
        <v>1.5388888888888892</v>
      </c>
      <c r="AF188" s="77">
        <f t="shared" si="150"/>
        <v>1</v>
      </c>
      <c r="AG188" s="19"/>
      <c r="AH188" s="178" t="s">
        <v>74</v>
      </c>
      <c r="AI188" s="54" t="s">
        <v>68</v>
      </c>
      <c r="AJ188" s="177" t="s">
        <v>75</v>
      </c>
      <c r="AK188" s="55" t="str" cm="1">
        <f t="array" ref="AK188">IF(ISNUMBER(G189),G189-_xlfn.AGGREGATE(14,6,(K$4:K188&lt;G189)*K$4:K188,1),"")</f>
        <v/>
      </c>
      <c r="AL188" s="20" t="str">
        <f>IF(ISNUMBER(AK188),ABS(IF(SUM(AK188-ref!E$9)&gt;0,0,SUM(AK188-ref!E$9))),"")</f>
        <v/>
      </c>
      <c r="AQ188"/>
    </row>
    <row r="189" spans="2:43" x14ac:dyDescent="0.25">
      <c r="B189" s="81">
        <v>5</v>
      </c>
      <c r="C189" s="88" t="s">
        <v>20</v>
      </c>
      <c r="D189" s="88"/>
      <c r="E189" s="154">
        <f t="shared" si="146"/>
        <v>43960</v>
      </c>
      <c r="F189" s="159" t="s">
        <v>22</v>
      </c>
      <c r="G189" s="155" t="str">
        <f t="shared" si="143"/>
        <v/>
      </c>
      <c r="H189" s="29"/>
      <c r="I189" s="23">
        <f t="shared" si="147"/>
        <v>0</v>
      </c>
      <c r="J189" s="29"/>
      <c r="K189" s="46" t="str">
        <f t="shared" si="144"/>
        <v/>
      </c>
      <c r="L189" s="21">
        <f>IF(OR(F189="télétravail",F189="férié travaillé",F189="travail"),(J189-H189+IF(H189&gt;J189,1)-I189),INDEX(ref!$E$22:'ref'!$E$37,MATCH(F189,gerald3,0)))</f>
        <v>0.29166666666666669</v>
      </c>
      <c r="M189" s="13">
        <f>IF(SUM(L189-ref!E$8)&lt;0,0,SUM(L189-ref!E$8))</f>
        <v>0</v>
      </c>
      <c r="N189" s="252">
        <f>L189-(hs!D188+hs!F188+hs!H188+hs!J188)</f>
        <v>0.29166666666666669</v>
      </c>
      <c r="O189" s="8">
        <f>IF(OR(F189="férié travaillé",F189="travail",F189="asa",F189="rtt"),J189-H189+IF(H189&gt;J189,1),INDEX(ref!$E$22:'ref'!$E$37,MATCH(F189,gerald2,0)))</f>
        <v>0.29166666666666669</v>
      </c>
      <c r="P189" s="14">
        <f>IF(SUM(O189-ref!E$4)&lt;0,0,SUM(O189-ref!E$4))</f>
        <v>0</v>
      </c>
      <c r="Q189" s="24">
        <f t="shared" si="148"/>
        <v>1.5388888888888892</v>
      </c>
      <c r="S189" s="137"/>
      <c r="T189" s="92"/>
      <c r="U189" s="129"/>
      <c r="V189" s="142">
        <f t="shared" si="145"/>
        <v>0</v>
      </c>
      <c r="W189" s="141" t="str">
        <f>IF(V189="","",IF(SUM(V189-ref!E$38)&gt;0,0,IF(V189=0, "0:00", SUM(V189-ref!E$38))))</f>
        <v>0:00</v>
      </c>
      <c r="X189" s="137"/>
      <c r="Y189" s="92"/>
      <c r="Z189" s="247"/>
      <c r="AA189" s="142">
        <f t="shared" si="149"/>
        <v>0</v>
      </c>
      <c r="AB189" s="245" t="str">
        <f>IF(AA189="","",IF(SUM(AA189-ref!E$38)&gt;0,0,IF(AA189=0, "0:00", SUM(AA189-ref!E$38))))</f>
        <v>0:00</v>
      </c>
      <c r="AC189" s="29"/>
      <c r="AD189" s="106"/>
      <c r="AE189" s="117" t="s">
        <v>47</v>
      </c>
      <c r="AF189" s="77">
        <f t="shared" si="150"/>
        <v>1</v>
      </c>
      <c r="AG189" s="19"/>
      <c r="AH189" s="178" t="s">
        <v>75</v>
      </c>
      <c r="AI189" s="54" t="s">
        <v>68</v>
      </c>
      <c r="AJ189" s="177" t="s">
        <v>76</v>
      </c>
      <c r="AK189" s="55" t="str" cm="1">
        <f t="array" ref="AK189">IF(ISNUMBER(G190),G190-_xlfn.AGGREGATE(14,6,(K$4:K189&lt;G190)*K$4:K189,1),"")</f>
        <v/>
      </c>
      <c r="AL189" s="20" t="str">
        <f>IF(ISNUMBER(AK189),ABS(IF(SUM(AK189-ref!E$9)&gt;0,0,SUM(AK189-ref!E$9))),"")</f>
        <v/>
      </c>
      <c r="AQ189"/>
    </row>
    <row r="190" spans="2:43" ht="15.75" thickBot="1" x14ac:dyDescent="0.3">
      <c r="B190"/>
      <c r="C190" s="89"/>
      <c r="D190" s="89"/>
      <c r="E190" s="154">
        <f t="shared" si="146"/>
        <v>43961</v>
      </c>
      <c r="F190" s="159" t="s">
        <v>19</v>
      </c>
      <c r="G190" s="155" t="str">
        <f t="shared" si="143"/>
        <v/>
      </c>
      <c r="H190" s="29"/>
      <c r="I190" s="23">
        <f t="shared" si="147"/>
        <v>0</v>
      </c>
      <c r="J190" s="29"/>
      <c r="K190" s="46" t="str">
        <f t="shared" si="144"/>
        <v/>
      </c>
      <c r="L190" s="21">
        <f>IF(OR(F190="télétravail",F190="férié travaillé",F190="travail"),(J190-H190+IF(H190&gt;J190,1)-I190),INDEX(ref!$E$22:'ref'!$E$37,MATCH(F190,gerald3,0)))</f>
        <v>0</v>
      </c>
      <c r="M190" s="13">
        <f>IF(SUM(L190-ref!E$8)&lt;0,0,SUM(L190-ref!E$8))</f>
        <v>0</v>
      </c>
      <c r="N190" s="252">
        <f>L190-(hs!D189+hs!F189+hs!H189+hs!J189)</f>
        <v>0</v>
      </c>
      <c r="O190" s="8">
        <f>IF(OR(F190="férié travaillé",F190="travail",F190="asa",F190="rtt"),J190-H190+IF(H190&gt;J190,1),INDEX(ref!$E$22:'ref'!$E$37,MATCH(F190,gerald2,0)))</f>
        <v>0</v>
      </c>
      <c r="P190" s="14">
        <f>IF(SUM(O190-ref!E$4)&lt;0,0,SUM(O190-ref!E$4))</f>
        <v>0</v>
      </c>
      <c r="Q190" s="97">
        <f t="shared" si="148"/>
        <v>1.5388888888888892</v>
      </c>
      <c r="S190" s="137"/>
      <c r="T190" s="92"/>
      <c r="U190" s="129"/>
      <c r="V190" s="142">
        <f t="shared" si="145"/>
        <v>0</v>
      </c>
      <c r="W190" s="141" t="str">
        <f>IF(V190="","",IF(SUM(V190-ref!E$38)&gt;0,0,IF(V190=0, "0:00", SUM(V190-ref!E$38))))</f>
        <v>0:00</v>
      </c>
      <c r="X190" s="137"/>
      <c r="Y190" s="92"/>
      <c r="Z190" s="247"/>
      <c r="AA190" s="142">
        <f t="shared" si="149"/>
        <v>0</v>
      </c>
      <c r="AB190" s="245" t="str">
        <f>IF(AA190="","",IF(SUM(AA190-ref!E$38)&gt;0,0,IF(AA190=0, "0:00", SUM(AA190-ref!E$38))))</f>
        <v>0:00</v>
      </c>
      <c r="AC190" s="29"/>
      <c r="AD190" s="106"/>
      <c r="AE190" s="118">
        <f>ref!E$11</f>
        <v>2</v>
      </c>
      <c r="AF190" s="77">
        <f t="shared" si="150"/>
        <v>0</v>
      </c>
      <c r="AG190" s="19"/>
      <c r="AH190" s="178" t="s">
        <v>76</v>
      </c>
      <c r="AI190" s="54" t="s">
        <v>68</v>
      </c>
      <c r="AJ190" s="177" t="s">
        <v>77</v>
      </c>
      <c r="AK190" s="55" t="str" cm="1">
        <f t="array" ref="AK190">IF(ISNUMBER(G191),G191-_xlfn.AGGREGATE(14,6,(K$4:K190&lt;G191)*K$4:K190,1),"")</f>
        <v/>
      </c>
      <c r="AL190" s="20" t="str">
        <f>IF(ISNUMBER(AK190),ABS(IF(SUM(AK190-ref!E$9)&gt;0,0,SUM(AK190-ref!E$9))),"")</f>
        <v/>
      </c>
      <c r="AQ190"/>
    </row>
    <row r="191" spans="2:43" ht="15.75" thickBot="1" x14ac:dyDescent="0.3">
      <c r="B191"/>
      <c r="C191" s="89"/>
      <c r="D191" s="89"/>
      <c r="E191" s="154">
        <f t="shared" si="146"/>
        <v>43962</v>
      </c>
      <c r="F191" s="160" t="s">
        <v>19</v>
      </c>
      <c r="G191" s="155" t="str">
        <f t="shared" si="143"/>
        <v/>
      </c>
      <c r="H191" s="29"/>
      <c r="I191" s="23">
        <f t="shared" si="147"/>
        <v>0</v>
      </c>
      <c r="J191" s="29"/>
      <c r="K191" s="46" t="str">
        <f t="shared" si="144"/>
        <v/>
      </c>
      <c r="L191" s="21">
        <f>IF(OR(F191="télétravail",F191="férié travaillé",F191="travail"),(J191-H191+IF(H191&gt;J191,1)-I191),INDEX(ref!$E$22:'ref'!$E$37,MATCH(F191,gerald3,0)))</f>
        <v>0</v>
      </c>
      <c r="M191" s="13">
        <f>IF(SUM(L191-ref!E$8)&lt;0,0,SUM(L191-ref!E$8))</f>
        <v>0</v>
      </c>
      <c r="N191" s="252">
        <f>L191-(hs!D190+hs!F190+hs!H190+hs!J190)</f>
        <v>0</v>
      </c>
      <c r="O191" s="8">
        <f>IF(OR(F191="férié travaillé",F191="travail",F191="asa",F191="rtt"),J191-H191+IF(H191&gt;J191,1),INDEX(ref!$E$22:'ref'!$E$37,MATCH(F191,gerald2,0)))</f>
        <v>0</v>
      </c>
      <c r="P191" s="14">
        <f>IF(SUM(O191-ref!E$4)&lt;0,0,SUM(O191-ref!E$4))</f>
        <v>0</v>
      </c>
      <c r="Q191" s="94">
        <f t="shared" si="148"/>
        <v>1.5388888888888892</v>
      </c>
      <c r="S191" s="138"/>
      <c r="T191" s="92"/>
      <c r="U191" s="129"/>
      <c r="V191" s="142">
        <f t="shared" si="145"/>
        <v>0</v>
      </c>
      <c r="W191" s="141" t="str">
        <f>IF(V191="","",IF(SUM(V191-ref!E$38)&gt;0,0,IF(V191=0, "0:00", SUM(V191-ref!E$38))))</f>
        <v>0:00</v>
      </c>
      <c r="X191" s="138"/>
      <c r="Y191" s="92"/>
      <c r="Z191" s="247"/>
      <c r="AA191" s="142">
        <f t="shared" si="149"/>
        <v>0</v>
      </c>
      <c r="AB191" s="246" t="str">
        <f>IF(AA191="","",IF(SUM(AA191-ref!E$38)&gt;0,0,IF(AA191=0, "0:00", SUM(AA191-ref!E$38))))</f>
        <v>0:00</v>
      </c>
      <c r="AC191" s="29"/>
      <c r="AD191" s="106"/>
      <c r="AE191" s="110">
        <f>IF(SUM(Q191-ref!E$11)&lt;0,0,SUM(Q191-ref!E$11))</f>
        <v>0</v>
      </c>
      <c r="AF191" s="77">
        <f t="shared" si="150"/>
        <v>0</v>
      </c>
      <c r="AG191" s="19"/>
      <c r="AQ191"/>
    </row>
    <row r="192" spans="2:43" x14ac:dyDescent="0.25">
      <c r="C192" s="89"/>
      <c r="D192" s="89"/>
      <c r="F192" s="157"/>
      <c r="W192" s="74"/>
      <c r="X192" s="2"/>
      <c r="Z192"/>
      <c r="AA192" s="2"/>
      <c r="AB192" s="2"/>
      <c r="AC192" s="127"/>
      <c r="AQ192"/>
    </row>
    <row r="193" spans="2:43" x14ac:dyDescent="0.25">
      <c r="C193" s="89"/>
      <c r="D193" s="89"/>
      <c r="F193" s="157"/>
      <c r="X193" s="2"/>
      <c r="Z193"/>
      <c r="AA193" s="2"/>
      <c r="AB193" s="2"/>
      <c r="AC193" s="127"/>
      <c r="AQ193"/>
    </row>
    <row r="194" spans="2:43" ht="15.75" thickBot="1" x14ac:dyDescent="0.3">
      <c r="C194" s="89"/>
      <c r="D194" s="89"/>
      <c r="F194" s="157"/>
      <c r="W194" s="74"/>
      <c r="X194" s="2"/>
      <c r="Z194"/>
      <c r="AA194" s="2"/>
      <c r="AB194" s="2"/>
      <c r="AC194" s="127"/>
      <c r="AQ194"/>
    </row>
    <row r="195" spans="2:43" x14ac:dyDescent="0.25">
      <c r="B195" s="78" t="s">
        <v>1</v>
      </c>
      <c r="C195" s="90" t="s">
        <v>20</v>
      </c>
      <c r="D195" s="88"/>
      <c r="E195" s="154">
        <f>DATE(ref!E$2,B199,B197)</f>
        <v>43963</v>
      </c>
      <c r="F195" s="158" t="s">
        <v>20</v>
      </c>
      <c r="G195" s="155">
        <f t="shared" ref="G195:G201" si="151">IF(AND(J195="",H195=""),"",E195+H195)</f>
        <v>43963.37777777778</v>
      </c>
      <c r="H195" s="29">
        <v>0.37777777777777777</v>
      </c>
      <c r="I195" s="23">
        <f>SUM(V195+AA195+AC195)</f>
        <v>3.7499999999999978E-2</v>
      </c>
      <c r="J195" s="29">
        <v>0.91111111111111109</v>
      </c>
      <c r="K195" s="46">
        <f t="shared" ref="K195:K201" si="152">IF(AND(H195="",J195=""),"",E195+J195+(H195&gt;J195))</f>
        <v>43963.911111111112</v>
      </c>
      <c r="L195" s="21">
        <f>IF(OR(F195="télétravail",F195="férié travaillé",F195="travail"),(J195-H195+IF(H195&gt;J195,1)-I195),INDEX(ref!$E$22:'ref'!$E$37,MATCH(F195,gerald3,0)))</f>
        <v>0.49583333333333335</v>
      </c>
      <c r="M195" s="13">
        <f>IF(SUM(L195-ref!E$8)&lt;0,0,SUM(L195-ref!E$8))</f>
        <v>7.9166666666666663E-2</v>
      </c>
      <c r="N195" s="252">
        <f>L195-(hs!D194+hs!F194+hs!H194+hs!J194)</f>
        <v>-0.1777777777777777</v>
      </c>
      <c r="O195" s="8">
        <f>IF(OR(F195="férié travaillé",F195="travail",F195="asa",F195="rtt"),J195-H195+IF(H195&gt;J195,1),INDEX(ref!$E$22:'ref'!$E$37,MATCH(F195,gerald2,0)))</f>
        <v>0.53333333333333333</v>
      </c>
      <c r="P195" s="14">
        <f>IF(SUM(O195-ref!E$4)&lt;0,0,SUM(O195-ref!E$4))</f>
        <v>3.3333333333333326E-2</v>
      </c>
      <c r="Q195" s="21">
        <f>L195</f>
        <v>0.49583333333333335</v>
      </c>
      <c r="S195" s="136"/>
      <c r="T195" s="92">
        <v>0.52500000000000002</v>
      </c>
      <c r="U195" s="129">
        <v>0.5625</v>
      </c>
      <c r="V195" s="142">
        <f t="shared" ref="V195:V201" si="153">U195-T195</f>
        <v>3.7499999999999978E-2</v>
      </c>
      <c r="W195" s="141">
        <f>IF(V195="","",IF(SUM(V195-ref!E$38)&gt;0,0,IF(V195=0, "0:00", SUM(V195-ref!E$38))))</f>
        <v>0</v>
      </c>
      <c r="X195" s="136"/>
      <c r="Y195" s="140"/>
      <c r="Z195" s="247"/>
      <c r="AA195" s="142">
        <f>Z195-Y195</f>
        <v>0</v>
      </c>
      <c r="AB195" s="244" t="str">
        <f>IF(AA195="","",IF(SUM(AA195-ref!E$38)&gt;0,0,IF(AA195=0, "0:00", SUM(AA195-ref!E$38))))</f>
        <v>0:00</v>
      </c>
      <c r="AC195" s="29"/>
      <c r="AD195" s="106"/>
      <c r="AE195" s="111">
        <f>SUM(AF195:AF201)</f>
        <v>5</v>
      </c>
      <c r="AF195" s="77">
        <f t="shared" ref="AF195:AF201" si="154">IF(AND(H195&lt;&gt;"",J195&lt;&gt;""),1,0+OR(N(J194)&lt;N(H194),F195="récupération",F195="congé 1 jour",F195="congé 1/2 jour ",F195="congé 5h24",F195="arrêt maladie",F195="arrêt travail",F195="férié ",F195="congé parentale",F195="congé de naissance"))</f>
        <v>1</v>
      </c>
      <c r="AG195" s="19"/>
      <c r="AH195" s="176" t="s">
        <v>71</v>
      </c>
      <c r="AI195" s="54" t="s">
        <v>68</v>
      </c>
      <c r="AJ195" s="177" t="s">
        <v>72</v>
      </c>
      <c r="AK195" s="55" cm="1">
        <f t="array" ref="AK195">IF(ISNUMBER(G196),G196-_xlfn.AGGREGATE(14,6,(K$4:K195&lt;G196)*K$4:K195,1),"")</f>
        <v>0.51041666666424135</v>
      </c>
      <c r="AL195" s="20">
        <f>IF(ISNUMBER(AK195),ABS(IF(SUM(AK195-ref!E$9)&gt;0,0,SUM(AK195-ref!E$9))),"")</f>
        <v>0</v>
      </c>
      <c r="AQ195"/>
    </row>
    <row r="196" spans="2:43" x14ac:dyDescent="0.25">
      <c r="B196" s="79" t="s">
        <v>1</v>
      </c>
      <c r="C196" s="90" t="s">
        <v>20</v>
      </c>
      <c r="D196" s="88"/>
      <c r="E196" s="154">
        <f t="shared" ref="E196:E201" si="155">E195+1</f>
        <v>43964</v>
      </c>
      <c r="F196" s="159" t="s">
        <v>20</v>
      </c>
      <c r="G196" s="155">
        <f t="shared" si="151"/>
        <v>43964.421527777777</v>
      </c>
      <c r="H196" s="29">
        <v>0.42152777777777778</v>
      </c>
      <c r="I196" s="23">
        <f t="shared" ref="I196:I201" si="156">SUM(V196+AA196+AC196)</f>
        <v>3.125E-2</v>
      </c>
      <c r="J196" s="29">
        <v>0.76527777777777772</v>
      </c>
      <c r="K196" s="46">
        <f t="shared" si="152"/>
        <v>43964.765277777777</v>
      </c>
      <c r="L196" s="21">
        <f>IF(OR(F196="télétravail",F196="férié travaillé",F196="travail"),(J196-H196+IF(H196&gt;J196,1)-I196),INDEX(ref!$E$22:'ref'!$E$37,MATCH(F196,gerald3,0)))</f>
        <v>0.31249999999999994</v>
      </c>
      <c r="M196" s="13">
        <f>IF(SUM(L196-ref!E$8)&lt;0,0,SUM(L196-ref!E$8))</f>
        <v>0</v>
      </c>
      <c r="N196" s="252">
        <f>L196-(hs!D195+hs!F195+hs!H195+hs!J195)</f>
        <v>-3.125E-2</v>
      </c>
      <c r="O196" s="8">
        <f>IF(OR(F196="férié travaillé",F196="travail",F196="asa",F196="rtt"),J196-H196+IF(H196&gt;J196,1),INDEX(ref!$E$22:'ref'!$E$37,MATCH(F196,gerald2,0)))</f>
        <v>0.34374999999999994</v>
      </c>
      <c r="P196" s="14">
        <f>IF(SUM(O196-ref!E$4)&lt;0,0,SUM(O196-ref!E$4))</f>
        <v>0</v>
      </c>
      <c r="Q196" s="24">
        <f t="shared" ref="Q196:Q201" si="157">Q195+L196</f>
        <v>0.80833333333333335</v>
      </c>
      <c r="S196" s="137"/>
      <c r="T196" s="92">
        <v>0.51180555555555551</v>
      </c>
      <c r="U196" s="129">
        <v>0.54305555555555551</v>
      </c>
      <c r="V196" s="142">
        <f t="shared" si="153"/>
        <v>3.125E-2</v>
      </c>
      <c r="W196" s="141">
        <f>IF(V196="","",IF(SUM(V196-ref!E$38)&gt;0,0,IF(V196=0, "0:00", SUM(V196-ref!E$38))))</f>
        <v>0</v>
      </c>
      <c r="X196" s="137"/>
      <c r="Y196" s="140"/>
      <c r="Z196" s="247"/>
      <c r="AA196" s="142">
        <f t="shared" ref="AA196:AA201" si="158">Z196-Y196</f>
        <v>0</v>
      </c>
      <c r="AB196" s="245" t="str">
        <f>IF(AA196="","",IF(SUM(AA196-ref!E$38)&gt;0,0,IF(AA196=0, "0:00", SUM(AA196-ref!E$38))))</f>
        <v>0:00</v>
      </c>
      <c r="AC196" s="29"/>
      <c r="AD196" s="106"/>
      <c r="AE196" s="112">
        <f>IF(SUM(AE195-ref!E$7)&lt;0,0,SUM(AE195-ref!E$7))</f>
        <v>0</v>
      </c>
      <c r="AF196" s="77">
        <f t="shared" si="154"/>
        <v>1</v>
      </c>
      <c r="AG196" s="19"/>
      <c r="AH196" s="178" t="s">
        <v>72</v>
      </c>
      <c r="AI196" s="54" t="s">
        <v>68</v>
      </c>
      <c r="AJ196" s="177" t="s">
        <v>73</v>
      </c>
      <c r="AK196" s="55" cm="1">
        <f t="array" ref="AK196">IF(ISNUMBER(G197),G197-_xlfn.AGGREGATE(14,6,(K$4:K196&lt;G197)*K$4:K196,1),"")</f>
        <v>0.6368055555576575</v>
      </c>
      <c r="AL196" s="20">
        <f>IF(ISNUMBER(AK196),ABS(IF(SUM(AK196-ref!E$9)&gt;0,0,SUM(AK196-ref!E$9))),"")</f>
        <v>0</v>
      </c>
      <c r="AQ196"/>
    </row>
    <row r="197" spans="2:43" x14ac:dyDescent="0.25">
      <c r="B197" s="80">
        <v>13</v>
      </c>
      <c r="C197" s="90" t="s">
        <v>20</v>
      </c>
      <c r="D197" s="88"/>
      <c r="E197" s="154">
        <f t="shared" si="155"/>
        <v>43965</v>
      </c>
      <c r="F197" s="159" t="s">
        <v>20</v>
      </c>
      <c r="G197" s="155">
        <f t="shared" si="151"/>
        <v>43965.402083333334</v>
      </c>
      <c r="H197" s="29">
        <v>0.40208333333333335</v>
      </c>
      <c r="I197" s="23">
        <f t="shared" si="156"/>
        <v>3.6805555555555647E-2</v>
      </c>
      <c r="J197" s="29">
        <v>0.89861111111111114</v>
      </c>
      <c r="K197" s="46">
        <f t="shared" si="152"/>
        <v>43965.898611111108</v>
      </c>
      <c r="L197" s="21">
        <f>IF(OR(F197="télétravail",F197="férié travaillé",F197="travail"),(J197-H197+IF(H197&gt;J197,1)-I197),INDEX(ref!$E$22:'ref'!$E$37,MATCH(F197,gerald3,0)))</f>
        <v>0.45972222222222214</v>
      </c>
      <c r="M197" s="13">
        <f>IF(SUM(L197-ref!E$8)&lt;0,0,SUM(L197-ref!E$8))</f>
        <v>4.3055555555555458E-2</v>
      </c>
      <c r="N197" s="252">
        <f>L197-(hs!D196+hs!F196+hs!H196+hs!J196)</f>
        <v>-0.16458333333333341</v>
      </c>
      <c r="O197" s="8">
        <f>IF(OR(F197="férié travaillé",F197="travail",F197="asa",F197="rtt"),J197-H197+IF(H197&gt;J197,1),INDEX(ref!$E$22:'ref'!$E$37,MATCH(F197,gerald2,0)))</f>
        <v>0.49652777777777779</v>
      </c>
      <c r="P197" s="14">
        <f>IF(SUM(O197-ref!E$4)&lt;0,0,SUM(O197-ref!E$4))</f>
        <v>0</v>
      </c>
      <c r="Q197" s="24">
        <f t="shared" si="157"/>
        <v>1.2680555555555555</v>
      </c>
      <c r="S197" s="137"/>
      <c r="T197" s="92">
        <v>0.51458333333333328</v>
      </c>
      <c r="U197" s="129">
        <v>0.55138888888888893</v>
      </c>
      <c r="V197" s="142">
        <f t="shared" si="153"/>
        <v>3.6805555555555647E-2</v>
      </c>
      <c r="W197" s="141">
        <f>IF(V197="","",IF(SUM(V197-ref!E$38)&gt;0,0,IF(V197=0, "0:00", SUM(V197-ref!E$38))))</f>
        <v>0</v>
      </c>
      <c r="X197" s="137"/>
      <c r="Y197" s="140"/>
      <c r="Z197" s="247"/>
      <c r="AA197" s="142">
        <f t="shared" si="158"/>
        <v>0</v>
      </c>
      <c r="AB197" s="245" t="str">
        <f>IF(AA197="","",IF(SUM(AA197-ref!E$38)&gt;0,0,IF(AA197=0, "0:00", SUM(AA197-ref!E$38))))</f>
        <v>0:00</v>
      </c>
      <c r="AC197" s="29"/>
      <c r="AD197" s="106"/>
      <c r="AE197" s="113" t="s">
        <v>29</v>
      </c>
      <c r="AF197" s="77">
        <f t="shared" si="154"/>
        <v>1</v>
      </c>
      <c r="AG197" s="19"/>
      <c r="AH197" s="178" t="s">
        <v>73</v>
      </c>
      <c r="AI197" s="54" t="s">
        <v>68</v>
      </c>
      <c r="AJ197" s="177" t="s">
        <v>74</v>
      </c>
      <c r="AK197" s="55" cm="1">
        <f t="array" ref="AK197">IF(ISNUMBER(G198),G198-_xlfn.AGGREGATE(14,6,(K$4:K197&lt;G198)*K$4:K197,1),"")</f>
        <v>0.47777777777810115</v>
      </c>
      <c r="AL197" s="20">
        <f>IF(ISNUMBER(AK197),ABS(IF(SUM(AK197-ref!E$9)&gt;0,0,SUM(AK197-ref!E$9))),"")</f>
        <v>0</v>
      </c>
      <c r="AQ197"/>
    </row>
    <row r="198" spans="2:43" x14ac:dyDescent="0.25">
      <c r="B198" s="79" t="s">
        <v>58</v>
      </c>
      <c r="C198" s="90" t="s">
        <v>20</v>
      </c>
      <c r="D198" s="88"/>
      <c r="E198" s="154">
        <f t="shared" si="155"/>
        <v>43966</v>
      </c>
      <c r="F198" s="159" t="s">
        <v>20</v>
      </c>
      <c r="G198" s="155">
        <f t="shared" si="151"/>
        <v>43966.376388888886</v>
      </c>
      <c r="H198" s="29">
        <v>0.37638888888888888</v>
      </c>
      <c r="I198" s="23">
        <f t="shared" si="156"/>
        <v>3.125E-2</v>
      </c>
      <c r="J198" s="29">
        <v>0.85138888888888886</v>
      </c>
      <c r="K198" s="46">
        <f t="shared" si="152"/>
        <v>43966.851388888892</v>
      </c>
      <c r="L198" s="21">
        <f>IF(OR(F198="télétravail",F198="férié travaillé",F198="travail"),(J198-H198+IF(H198&gt;J198,1)-I198),INDEX(ref!$E$22:'ref'!$E$37,MATCH(F198,gerald3,0)))</f>
        <v>0.44374999999999998</v>
      </c>
      <c r="M198" s="13">
        <f>IF(SUM(L198-ref!E$8)&lt;0,0,SUM(L198-ref!E$8))</f>
        <v>2.7083333333333293E-2</v>
      </c>
      <c r="N198" s="252">
        <f>L198-(hs!D197+hs!F197+hs!H197+hs!J197)</f>
        <v>-0.11180555555555549</v>
      </c>
      <c r="O198" s="8">
        <f>IF(OR(F198="férié travaillé",F198="travail",F198="asa",F198="rtt"),J198-H198+IF(H198&gt;J198,1),INDEX(ref!$E$22:'ref'!$E$37,MATCH(F198,gerald2,0)))</f>
        <v>0.47499999999999998</v>
      </c>
      <c r="P198" s="14">
        <f>IF(SUM(O198-ref!E$4)&lt;0,0,SUM(O198-ref!E$4))</f>
        <v>0</v>
      </c>
      <c r="Q198" s="24">
        <f t="shared" si="157"/>
        <v>1.7118055555555554</v>
      </c>
      <c r="S198" s="137"/>
      <c r="T198" s="92">
        <v>0.54166666666666663</v>
      </c>
      <c r="U198" s="129">
        <v>0.57291666666666663</v>
      </c>
      <c r="V198" s="142">
        <f t="shared" si="153"/>
        <v>3.125E-2</v>
      </c>
      <c r="W198" s="141">
        <f>IF(V198="","",IF(SUM(V198-ref!E$38)&gt;0,0,IF(V198=0, "0:00", SUM(V198-ref!E$38))))</f>
        <v>0</v>
      </c>
      <c r="X198" s="137"/>
      <c r="Y198" s="140"/>
      <c r="Z198" s="247"/>
      <c r="AA198" s="142">
        <f t="shared" si="158"/>
        <v>0</v>
      </c>
      <c r="AB198" s="245" t="str">
        <f>IF(AA198="","",IF(SUM(AA198-ref!E$38)&gt;0,0,IF(AA198=0, "0:00", SUM(AA198-ref!E$38))))</f>
        <v>0:00</v>
      </c>
      <c r="AC198" s="29"/>
      <c r="AD198" s="106"/>
      <c r="AE198" s="114">
        <f>Q201</f>
        <v>2.2166666666666663</v>
      </c>
      <c r="AF198" s="77">
        <f t="shared" si="154"/>
        <v>1</v>
      </c>
      <c r="AG198" s="19"/>
      <c r="AH198" s="178" t="s">
        <v>74</v>
      </c>
      <c r="AI198" s="54" t="s">
        <v>68</v>
      </c>
      <c r="AJ198" s="177" t="s">
        <v>75</v>
      </c>
      <c r="AK198" s="55" cm="1">
        <f t="array" ref="AK198">IF(ISNUMBER(G199),G199-_xlfn.AGGREGATE(14,6,(K$4:K198&lt;G199)*K$4:K198,1),"")</f>
        <v>0.52291666666133096</v>
      </c>
      <c r="AL198" s="20">
        <f>IF(ISNUMBER(AK198),ABS(IF(SUM(AK198-ref!E$9)&gt;0,0,SUM(AK198-ref!E$9))),"")</f>
        <v>0</v>
      </c>
      <c r="AQ198"/>
    </row>
    <row r="199" spans="2:43" x14ac:dyDescent="0.25">
      <c r="B199" s="81">
        <v>5</v>
      </c>
      <c r="C199" s="90" t="s">
        <v>20</v>
      </c>
      <c r="D199" s="88"/>
      <c r="E199" s="154">
        <f t="shared" si="155"/>
        <v>43967</v>
      </c>
      <c r="F199" s="159" t="s">
        <v>20</v>
      </c>
      <c r="G199" s="155">
        <f t="shared" si="151"/>
        <v>43967.374305555553</v>
      </c>
      <c r="H199" s="29">
        <v>0.37430555555555556</v>
      </c>
      <c r="I199" s="23">
        <f t="shared" si="156"/>
        <v>3.125E-2</v>
      </c>
      <c r="J199" s="29">
        <v>0.91041666666666665</v>
      </c>
      <c r="K199" s="46">
        <f t="shared" si="152"/>
        <v>43967.910416666666</v>
      </c>
      <c r="L199" s="21">
        <f>IF(OR(F199="télétravail",F199="férié travaillé",F199="travail"),(J199-H199+IF(H199&gt;J199,1)-I199),INDEX(ref!$E$22:'ref'!$E$37,MATCH(F199,gerald3,0)))</f>
        <v>0.50486111111111109</v>
      </c>
      <c r="M199" s="13">
        <f>IF(SUM(L199-ref!E$8)&lt;0,0,SUM(L199-ref!E$8))</f>
        <v>8.8194444444444409E-2</v>
      </c>
      <c r="N199" s="252">
        <f>L199-(hs!D198+hs!F198+hs!H198+hs!J198)</f>
        <v>-0.17083333333333328</v>
      </c>
      <c r="O199" s="8">
        <f>IF(OR(F199="férié travaillé",F199="travail",F199="asa",F199="rtt"),J199-H199+IF(H199&gt;J199,1),INDEX(ref!$E$22:'ref'!$E$37,MATCH(F199,gerald2,0)))</f>
        <v>0.53611111111111109</v>
      </c>
      <c r="P199" s="14">
        <f>IF(SUM(O199-ref!E$4)&lt;0,0,SUM(O199-ref!E$4))</f>
        <v>3.6111111111111094E-2</v>
      </c>
      <c r="Q199" s="24">
        <f t="shared" si="157"/>
        <v>2.2166666666666663</v>
      </c>
      <c r="S199" s="137"/>
      <c r="T199" s="92">
        <v>0.54166666666666663</v>
      </c>
      <c r="U199" s="129">
        <v>0.57291666666666663</v>
      </c>
      <c r="V199" s="142">
        <f t="shared" si="153"/>
        <v>3.125E-2</v>
      </c>
      <c r="W199" s="141">
        <f>IF(V199="","",IF(SUM(V199-ref!E$38)&gt;0,0,IF(V199=0, "0:00", SUM(V199-ref!E$38))))</f>
        <v>0</v>
      </c>
      <c r="X199" s="137"/>
      <c r="Y199" s="140"/>
      <c r="Z199" s="247"/>
      <c r="AA199" s="142">
        <f t="shared" si="158"/>
        <v>0</v>
      </c>
      <c r="AB199" s="245" t="str">
        <f>IF(AA199="","",IF(SUM(AA199-ref!E$38)&gt;0,0,IF(AA199=0, "0:00", SUM(AA199-ref!E$38))))</f>
        <v>0:00</v>
      </c>
      <c r="AC199" s="29"/>
      <c r="AD199" s="106"/>
      <c r="AE199" s="117" t="s">
        <v>47</v>
      </c>
      <c r="AF199" s="77">
        <f t="shared" si="154"/>
        <v>1</v>
      </c>
      <c r="AG199" s="19"/>
      <c r="AH199" s="178" t="s">
        <v>75</v>
      </c>
      <c r="AI199" s="54" t="s">
        <v>68</v>
      </c>
      <c r="AJ199" s="177" t="s">
        <v>76</v>
      </c>
      <c r="AK199" s="55" t="str" cm="1">
        <f t="array" ref="AK199">IF(ISNUMBER(G200),G200-_xlfn.AGGREGATE(14,6,(K$4:K199&lt;G200)*K$4:K199,1),"")</f>
        <v/>
      </c>
      <c r="AL199" s="20" t="str">
        <f>IF(ISNUMBER(AK199),ABS(IF(SUM(AK199-ref!E$9)&gt;0,0,SUM(AK199-ref!E$9))),"")</f>
        <v/>
      </c>
      <c r="AQ199"/>
    </row>
    <row r="200" spans="2:43" ht="15.75" thickBot="1" x14ac:dyDescent="0.3">
      <c r="B200"/>
      <c r="C200" s="89"/>
      <c r="D200" s="89"/>
      <c r="E200" s="154">
        <f t="shared" si="155"/>
        <v>43968</v>
      </c>
      <c r="F200" s="159" t="s">
        <v>19</v>
      </c>
      <c r="G200" s="155" t="str">
        <f t="shared" si="151"/>
        <v/>
      </c>
      <c r="H200" s="29"/>
      <c r="I200" s="23">
        <f t="shared" si="156"/>
        <v>0</v>
      </c>
      <c r="J200" s="29"/>
      <c r="K200" s="46" t="str">
        <f t="shared" si="152"/>
        <v/>
      </c>
      <c r="L200" s="21">
        <f>IF(OR(F200="télétravail",F200="férié travaillé",F200="travail"),(J200-H200+IF(H200&gt;J200,1)-I200),INDEX(ref!$E$22:'ref'!$E$37,MATCH(F200,gerald3,0)))</f>
        <v>0</v>
      </c>
      <c r="M200" s="13">
        <f>IF(SUM(L200-ref!E$8)&lt;0,0,SUM(L200-ref!E$8))</f>
        <v>0</v>
      </c>
      <c r="N200" s="252">
        <f>L200-(hs!D199+hs!F199+hs!H199+hs!J199)</f>
        <v>0</v>
      </c>
      <c r="O200" s="8">
        <f>IF(OR(F200="férié travaillé",F200="travail",F200="asa",F200="rtt"),J200-H200+IF(H200&gt;J200,1),INDEX(ref!$E$22:'ref'!$E$37,MATCH(F200,gerald2,0)))</f>
        <v>0</v>
      </c>
      <c r="P200" s="14">
        <f>IF(SUM(O200-ref!E$4)&lt;0,0,SUM(O200-ref!E$4))</f>
        <v>0</v>
      </c>
      <c r="Q200" s="97">
        <f t="shared" si="157"/>
        <v>2.2166666666666663</v>
      </c>
      <c r="S200" s="137"/>
      <c r="T200" s="92"/>
      <c r="U200" s="129"/>
      <c r="V200" s="142">
        <f t="shared" si="153"/>
        <v>0</v>
      </c>
      <c r="W200" s="141" t="str">
        <f>IF(V200="","",IF(SUM(V200-ref!E$38)&gt;0,0,IF(V200=0, "0:00", SUM(V200-ref!E$38))))</f>
        <v>0:00</v>
      </c>
      <c r="X200" s="137"/>
      <c r="Y200" s="140"/>
      <c r="Z200" s="247"/>
      <c r="AA200" s="142">
        <f t="shared" si="158"/>
        <v>0</v>
      </c>
      <c r="AB200" s="245" t="str">
        <f>IF(AA200="","",IF(SUM(AA200-ref!E$38)&gt;0,0,IF(AA200=0, "0:00", SUM(AA200-ref!E$38))))</f>
        <v>0:00</v>
      </c>
      <c r="AC200" s="29"/>
      <c r="AD200" s="106"/>
      <c r="AE200" s="118">
        <f>ref!E$11</f>
        <v>2</v>
      </c>
      <c r="AF200" s="77">
        <f t="shared" si="154"/>
        <v>0</v>
      </c>
      <c r="AG200" s="19"/>
      <c r="AH200" s="178" t="s">
        <v>76</v>
      </c>
      <c r="AI200" s="54" t="s">
        <v>68</v>
      </c>
      <c r="AJ200" s="177" t="s">
        <v>77</v>
      </c>
      <c r="AK200" s="55" t="str" cm="1">
        <f t="array" ref="AK200">IF(ISNUMBER(G201),G201-_xlfn.AGGREGATE(14,6,(K$4:K200&lt;G201)*K$4:K200,1),"")</f>
        <v/>
      </c>
      <c r="AL200" s="20" t="str">
        <f>IF(ISNUMBER(AK200),ABS(IF(SUM(AK200-ref!E$9)&gt;0,0,SUM(AK200-ref!E$9))),"")</f>
        <v/>
      </c>
      <c r="AQ200"/>
    </row>
    <row r="201" spans="2:43" ht="15.75" thickBot="1" x14ac:dyDescent="0.3">
      <c r="B201"/>
      <c r="C201" s="89"/>
      <c r="D201" s="89"/>
      <c r="E201" s="154">
        <f t="shared" si="155"/>
        <v>43969</v>
      </c>
      <c r="F201" s="160" t="s">
        <v>19</v>
      </c>
      <c r="G201" s="155" t="str">
        <f t="shared" si="151"/>
        <v/>
      </c>
      <c r="H201" s="29"/>
      <c r="I201" s="23">
        <f t="shared" si="156"/>
        <v>0</v>
      </c>
      <c r="J201" s="29"/>
      <c r="K201" s="46" t="str">
        <f t="shared" si="152"/>
        <v/>
      </c>
      <c r="L201" s="21">
        <f>IF(OR(F201="télétravail",F201="férié travaillé",F201="travail"),(J201-H201+IF(H201&gt;J201,1)-I201),INDEX(ref!$E$22:'ref'!$E$37,MATCH(F201,gerald3,0)))</f>
        <v>0</v>
      </c>
      <c r="M201" s="13">
        <f>IF(SUM(L201-ref!E$8)&lt;0,0,SUM(L201-ref!E$8))</f>
        <v>0</v>
      </c>
      <c r="N201" s="252">
        <f>L201-(hs!D200+hs!F200+hs!H200+hs!J200)</f>
        <v>0</v>
      </c>
      <c r="O201" s="8">
        <f>IF(OR(F201="férié travaillé",F201="travail",F201="asa",F201="rtt"),J201-H201+IF(H201&gt;J201,1),INDEX(ref!$E$22:'ref'!$E$37,MATCH(F201,gerald2,0)))</f>
        <v>0</v>
      </c>
      <c r="P201" s="14">
        <f>IF(SUM(O201-ref!E$4)&lt;0,0,SUM(O201-ref!E$4))</f>
        <v>0</v>
      </c>
      <c r="Q201" s="94">
        <f t="shared" si="157"/>
        <v>2.2166666666666663</v>
      </c>
      <c r="S201" s="138"/>
      <c r="T201" s="92"/>
      <c r="U201" s="129"/>
      <c r="V201" s="142">
        <f t="shared" si="153"/>
        <v>0</v>
      </c>
      <c r="W201" s="141" t="str">
        <f>IF(V201="","",IF(SUM(V201-ref!E$38)&gt;0,0,IF(V201=0, "0:00", SUM(V201-ref!E$38))))</f>
        <v>0:00</v>
      </c>
      <c r="X201" s="138"/>
      <c r="Y201" s="140"/>
      <c r="Z201" s="247"/>
      <c r="AA201" s="142">
        <f t="shared" si="158"/>
        <v>0</v>
      </c>
      <c r="AB201" s="246" t="str">
        <f>IF(AA201="","",IF(SUM(AA201-ref!E$38)&gt;0,0,IF(AA201=0, "0:00", SUM(AA201-ref!E$38))))</f>
        <v>0:00</v>
      </c>
      <c r="AC201" s="29"/>
      <c r="AD201" s="106"/>
      <c r="AE201" s="110">
        <f>IF(SUM(Q201-ref!E$11)&lt;0,0,SUM(Q201-ref!E$11))</f>
        <v>0.21666666666666634</v>
      </c>
      <c r="AF201" s="77">
        <f t="shared" si="154"/>
        <v>0</v>
      </c>
      <c r="AG201" s="19"/>
      <c r="AQ201"/>
    </row>
    <row r="202" spans="2:43" x14ac:dyDescent="0.25">
      <c r="C202" s="89"/>
      <c r="D202" s="89"/>
      <c r="W202" s="74"/>
      <c r="X202" s="2"/>
      <c r="Z202" s="130"/>
      <c r="AA202" s="2"/>
      <c r="AB202" s="2"/>
      <c r="AC202" s="127"/>
      <c r="AQ202"/>
    </row>
    <row r="203" spans="2:43" x14ac:dyDescent="0.25">
      <c r="C203" s="89"/>
      <c r="D203" s="89"/>
      <c r="X203" s="2"/>
      <c r="Z203"/>
      <c r="AA203" s="2"/>
      <c r="AB203" s="2"/>
      <c r="AC203" s="127"/>
      <c r="AQ203"/>
    </row>
    <row r="204" spans="2:43" ht="15.75" thickBot="1" x14ac:dyDescent="0.3">
      <c r="C204" s="89"/>
      <c r="D204" s="89"/>
      <c r="W204" s="74"/>
      <c r="X204" s="2"/>
      <c r="Z204"/>
      <c r="AA204" s="2"/>
      <c r="AB204" s="2"/>
      <c r="AC204" s="127"/>
      <c r="AQ204"/>
    </row>
    <row r="205" spans="2:43" x14ac:dyDescent="0.25">
      <c r="B205" s="78" t="s">
        <v>1</v>
      </c>
      <c r="C205" s="90" t="s">
        <v>20</v>
      </c>
      <c r="D205" s="88"/>
      <c r="E205" s="154">
        <f>DATE(ref!E$2,B209,B207)</f>
        <v>43970</v>
      </c>
      <c r="F205" s="163" t="s">
        <v>26</v>
      </c>
      <c r="G205" s="155" t="str">
        <f t="shared" ref="G205:G211" si="159">IF(AND(J205="",H205=""),"",E205+H205)</f>
        <v/>
      </c>
      <c r="H205" s="29"/>
      <c r="I205" s="23">
        <f>SUM(V205+AA205+AC205)</f>
        <v>0</v>
      </c>
      <c r="J205" s="29"/>
      <c r="K205" s="46" t="str">
        <f t="shared" ref="K205:K211" si="160">IF(AND(H205="",J205=""),"",E205+J205+(H205&gt;J205))</f>
        <v/>
      </c>
      <c r="L205" s="21">
        <f>IF(OR(F205="télétravail",F205="férié travaillé",F205="travail"),(J205-H205+IF(H205&gt;J205,1)-I205),INDEX(ref!$E$22:'ref'!$E$37,MATCH(F205,gerald3,0)))</f>
        <v>0.29166666666666669</v>
      </c>
      <c r="M205" s="13">
        <f>IF(SUM(L205-ref!E$8)&lt;0,0,SUM(L205-ref!E$8))</f>
        <v>0</v>
      </c>
      <c r="N205" s="252">
        <f>L205-(hs!D204+hs!F204+hs!H204+hs!J204)</f>
        <v>0.29166666666666669</v>
      </c>
      <c r="O205" s="8">
        <f>IF(OR(F205="férié travaillé",F205="travail",F205="asa",F205="rtt"),J205-H205+IF(H205&gt;J205,1),INDEX(ref!$E$22:'ref'!$E$37,MATCH(F205,gerald2,0)))</f>
        <v>0.29166666666666669</v>
      </c>
      <c r="P205" s="14">
        <f>IF(SUM(O205-ref!E$4)&lt;0,0,SUM(O205-ref!E$4))</f>
        <v>0</v>
      </c>
      <c r="Q205" s="21">
        <f>L205</f>
        <v>0.29166666666666669</v>
      </c>
      <c r="S205" s="136"/>
      <c r="T205" s="92"/>
      <c r="U205" s="129"/>
      <c r="V205" s="142">
        <f t="shared" ref="V205:V211" si="161">U205-T205</f>
        <v>0</v>
      </c>
      <c r="W205" s="141" t="str">
        <f>IF(V205="","",IF(SUM(V205-ref!E$38)&gt;0,0,IF(V205=0, "0:00", SUM(V205-ref!E$38))))</f>
        <v>0:00</v>
      </c>
      <c r="X205" s="136"/>
      <c r="Y205" s="92"/>
      <c r="Z205" s="247"/>
      <c r="AA205" s="142">
        <f>Z205-Y205</f>
        <v>0</v>
      </c>
      <c r="AB205" s="244" t="str">
        <f>IF(AA205="","",IF(SUM(AA205-ref!E$38)&gt;0,0,IF(AA205=0, "0:00", SUM(AA205-ref!E$38))))</f>
        <v>0:00</v>
      </c>
      <c r="AC205" s="29"/>
      <c r="AD205" s="106"/>
      <c r="AE205" s="111">
        <f>SUM(AF205:AF211)</f>
        <v>5</v>
      </c>
      <c r="AF205" s="77">
        <f>IF(AND(H205&lt;&gt;"",J205&lt;&gt;""),1,0+OR(N(J214)&lt;N(H214),F205="récupération",F205="congé 1 jour",F205="congé 1/2 jour ",F205="congé 5h24",F205="arrêt maladie",F205="arrêt travail",F205="férié ",F205="congé parentale",F205="congé de naissance"))</f>
        <v>1</v>
      </c>
      <c r="AG205" s="19"/>
      <c r="AH205" s="176" t="s">
        <v>71</v>
      </c>
      <c r="AI205" s="54" t="s">
        <v>68</v>
      </c>
      <c r="AJ205" s="177" t="s">
        <v>72</v>
      </c>
      <c r="AK205" s="55" cm="1">
        <f t="array" ref="AK205">IF(ISNUMBER(G206),G206-_xlfn.AGGREGATE(14,6,(K$4:K205&lt;G206)*K$4:K205,1),"")</f>
        <v>3.4666666666671517</v>
      </c>
      <c r="AL205" s="20">
        <f>IF(ISNUMBER(AK205),ABS(IF(SUM(AK205-ref!E$9)&gt;0,0,SUM(AK205-ref!E$9))),"")</f>
        <v>0</v>
      </c>
      <c r="AQ205"/>
    </row>
    <row r="206" spans="2:43" x14ac:dyDescent="0.25">
      <c r="B206" s="79" t="s">
        <v>1</v>
      </c>
      <c r="C206" s="90" t="s">
        <v>20</v>
      </c>
      <c r="D206" s="88"/>
      <c r="E206" s="154">
        <f t="shared" ref="E206:E211" si="162">E205+1</f>
        <v>43971</v>
      </c>
      <c r="F206" s="164" t="s">
        <v>20</v>
      </c>
      <c r="G206" s="155">
        <f t="shared" si="159"/>
        <v>43971.377083333333</v>
      </c>
      <c r="H206" s="29">
        <v>0.37708333333333333</v>
      </c>
      <c r="I206" s="23">
        <f t="shared" ref="I206:I211" si="163">SUM(V206+AA206+AC206)</f>
        <v>3.125E-2</v>
      </c>
      <c r="J206" s="29">
        <v>0.76180555555555551</v>
      </c>
      <c r="K206" s="46">
        <f t="shared" si="160"/>
        <v>43971.761805555558</v>
      </c>
      <c r="L206" s="21">
        <f>IF(OR(F206="télétravail",F206="férié travaillé",F206="travail"),(J206-H206+IF(H206&gt;J206,1)-I206),INDEX(ref!$E$22:'ref'!$E$37,MATCH(F206,gerald3,0)))</f>
        <v>0.35347222222222219</v>
      </c>
      <c r="M206" s="13">
        <f>IF(SUM(L206-ref!E$8)&lt;0,0,SUM(L206-ref!E$8))</f>
        <v>0</v>
      </c>
      <c r="N206" s="252">
        <f>L206-(hs!D205+hs!F205+hs!H205+hs!J205)</f>
        <v>-3.125E-2</v>
      </c>
      <c r="O206" s="8">
        <f>IF(OR(F206="férié travaillé",F206="travail",F206="asa",F206="rtt"),J206-H206+IF(H206&gt;J206,1),INDEX(ref!$E$22:'ref'!$E$37,MATCH(F206,gerald2,0)))</f>
        <v>0.38472222222222219</v>
      </c>
      <c r="P206" s="14">
        <f>IF(SUM(O206-ref!E$4)&lt;0,0,SUM(O206-ref!E$4))</f>
        <v>0</v>
      </c>
      <c r="Q206" s="24">
        <f t="shared" ref="Q206:Q211" si="164">Q205+L206</f>
        <v>0.64513888888888893</v>
      </c>
      <c r="S206" s="137"/>
      <c r="T206" s="92">
        <v>0.54166666666666663</v>
      </c>
      <c r="U206" s="129">
        <v>0.57291666666666663</v>
      </c>
      <c r="V206" s="142">
        <f t="shared" si="161"/>
        <v>3.125E-2</v>
      </c>
      <c r="W206" s="141">
        <f>IF(V206="","",IF(SUM(V206-ref!E$38)&gt;0,0,IF(V206=0, "0:00", SUM(V206-ref!E$38))))</f>
        <v>0</v>
      </c>
      <c r="X206" s="137"/>
      <c r="Y206" s="92"/>
      <c r="Z206" s="247"/>
      <c r="AA206" s="142">
        <f t="shared" ref="AA206:AA211" si="165">Z206-Y206</f>
        <v>0</v>
      </c>
      <c r="AB206" s="245" t="str">
        <f>IF(AA206="","",IF(SUM(AA206-ref!E$38)&gt;0,0,IF(AA206=0, "0:00", SUM(AA206-ref!E$38))))</f>
        <v>0:00</v>
      </c>
      <c r="AC206" s="29"/>
      <c r="AD206" s="106"/>
      <c r="AE206" s="112">
        <f>IF(SUM(AE205-ref!E$7)&lt;0,0,SUM(AE205-ref!E$7))</f>
        <v>0</v>
      </c>
      <c r="AF206" s="77">
        <f t="shared" ref="AF206:AF211" si="166">IF(AND(H206&lt;&gt;"",J206&lt;&gt;""),1,0+OR(N(J205)&lt;N(H205),F206="récupération",F206="congé 1 jour",F206="congé 1/2 jour ",F206="congé 5h24",F206="arrêt maladie",F206="arrêt travail",F206="férié ",F206="congé parentale",F206="congé de naissance"))</f>
        <v>1</v>
      </c>
      <c r="AG206" s="19"/>
      <c r="AH206" s="178" t="s">
        <v>72</v>
      </c>
      <c r="AI206" s="54" t="s">
        <v>68</v>
      </c>
      <c r="AJ206" s="177" t="s">
        <v>73</v>
      </c>
      <c r="AK206" s="55" cm="1">
        <f t="array" ref="AK206">IF(ISNUMBER(G207),G207-_xlfn.AGGREGATE(14,6,(K$4:K206&lt;G207)*K$4:K206,1),"")</f>
        <v>0.62708333333284827</v>
      </c>
      <c r="AL206" s="20">
        <f>IF(ISNUMBER(AK206),ABS(IF(SUM(AK206-ref!E$9)&gt;0,0,SUM(AK206-ref!E$9))),"")</f>
        <v>0</v>
      </c>
      <c r="AQ206"/>
    </row>
    <row r="207" spans="2:43" x14ac:dyDescent="0.25">
      <c r="B207" s="80">
        <v>20</v>
      </c>
      <c r="C207" s="90" t="s">
        <v>20</v>
      </c>
      <c r="D207" s="88"/>
      <c r="E207" s="154">
        <f t="shared" si="162"/>
        <v>43972</v>
      </c>
      <c r="F207" s="164" t="s">
        <v>20</v>
      </c>
      <c r="G207" s="155">
        <f t="shared" si="159"/>
        <v>43972.388888888891</v>
      </c>
      <c r="H207" s="29">
        <v>0.3888888888888889</v>
      </c>
      <c r="I207" s="23">
        <f t="shared" si="163"/>
        <v>3.3333333333333326E-2</v>
      </c>
      <c r="J207" s="29">
        <v>0.76666666666666672</v>
      </c>
      <c r="K207" s="46">
        <f t="shared" si="160"/>
        <v>43972.76666666667</v>
      </c>
      <c r="L207" s="21">
        <f>IF(OR(F207="télétravail",F207="férié travaillé",F207="travail"),(J207-H207+IF(H207&gt;J207,1)-I207),INDEX(ref!$E$22:'ref'!$E$37,MATCH(F207,gerald3,0)))</f>
        <v>0.3444444444444445</v>
      </c>
      <c r="M207" s="13">
        <f>IF(SUM(L207-ref!E$8)&lt;0,0,SUM(L207-ref!E$8))</f>
        <v>0</v>
      </c>
      <c r="N207" s="252">
        <f>L207-(hs!D206+hs!F206+hs!H206+hs!J206)</f>
        <v>-3.3333333333333326E-2</v>
      </c>
      <c r="O207" s="8">
        <f>IF(OR(F207="férié travaillé",F207="travail",F207="asa",F207="rtt"),J207-H207+IF(H207&gt;J207,1),INDEX(ref!$E$22:'ref'!$E$37,MATCH(F207,gerald2,0)))</f>
        <v>0.37777777777777782</v>
      </c>
      <c r="P207" s="14">
        <f>IF(SUM(O207-ref!E$4)&lt;0,0,SUM(O207-ref!E$4))</f>
        <v>0</v>
      </c>
      <c r="Q207" s="24">
        <f t="shared" si="164"/>
        <v>0.98958333333333348</v>
      </c>
      <c r="S207" s="137"/>
      <c r="T207" s="92">
        <v>0.5083333333333333</v>
      </c>
      <c r="U207" s="129">
        <v>0.54166666666666663</v>
      </c>
      <c r="V207" s="142">
        <f t="shared" si="161"/>
        <v>3.3333333333333326E-2</v>
      </c>
      <c r="W207" s="141">
        <f>IF(V207="","",IF(SUM(V207-ref!E$38)&gt;0,0,IF(V207=0, "0:00", SUM(V207-ref!E$38))))</f>
        <v>0</v>
      </c>
      <c r="X207" s="137"/>
      <c r="Y207" s="92"/>
      <c r="Z207" s="247"/>
      <c r="AA207" s="142">
        <f t="shared" si="165"/>
        <v>0</v>
      </c>
      <c r="AB207" s="245" t="str">
        <f>IF(AA207="","",IF(SUM(AA207-ref!E$38)&gt;0,0,IF(AA207=0, "0:00", SUM(AA207-ref!E$38))))</f>
        <v>0:00</v>
      </c>
      <c r="AC207" s="29"/>
      <c r="AD207" s="106"/>
      <c r="AE207" s="113" t="s">
        <v>29</v>
      </c>
      <c r="AF207" s="77">
        <f t="shared" si="166"/>
        <v>1</v>
      </c>
      <c r="AG207" s="19"/>
      <c r="AH207" s="178" t="s">
        <v>73</v>
      </c>
      <c r="AI207" s="54" t="s">
        <v>68</v>
      </c>
      <c r="AJ207" s="177" t="s">
        <v>74</v>
      </c>
      <c r="AK207" s="55" cm="1">
        <f t="array" ref="AK207">IF(ISNUMBER(G208),G208-_xlfn.AGGREGATE(14,6,(K$4:K207&lt;G208)*K$4:K207,1),"")</f>
        <v>0.60416666666424135</v>
      </c>
      <c r="AL207" s="20">
        <f>IF(ISNUMBER(AK207),ABS(IF(SUM(AK207-ref!E$9)&gt;0,0,SUM(AK207-ref!E$9))),"")</f>
        <v>0</v>
      </c>
      <c r="AQ207"/>
    </row>
    <row r="208" spans="2:43" x14ac:dyDescent="0.25">
      <c r="B208" s="79" t="s">
        <v>58</v>
      </c>
      <c r="C208" s="90" t="s">
        <v>20</v>
      </c>
      <c r="D208" s="88"/>
      <c r="E208" s="154">
        <f t="shared" si="162"/>
        <v>43973</v>
      </c>
      <c r="F208" s="164" t="s">
        <v>20</v>
      </c>
      <c r="G208" s="155">
        <f t="shared" si="159"/>
        <v>43973.370833333334</v>
      </c>
      <c r="H208" s="29">
        <v>0.37083333333333335</v>
      </c>
      <c r="I208" s="23">
        <f t="shared" si="163"/>
        <v>3.125E-2</v>
      </c>
      <c r="J208" s="29">
        <v>0.97013888888888888</v>
      </c>
      <c r="K208" s="46">
        <f t="shared" si="160"/>
        <v>43973.970138888886</v>
      </c>
      <c r="L208" s="21">
        <f>IF(OR(F208="télétravail",F208="férié travaillé",F208="travail"),(J208-H208+IF(H208&gt;J208,1)-I208),INDEX(ref!$E$22:'ref'!$E$37,MATCH(F208,gerald3,0)))</f>
        <v>0.56805555555555554</v>
      </c>
      <c r="M208" s="13">
        <f>IF(SUM(L208-ref!E$8)&lt;0,0,SUM(L208-ref!E$8))</f>
        <v>0.15138888888888885</v>
      </c>
      <c r="N208" s="252">
        <f>L208-(hs!D207+hs!F207+hs!H207+hs!J207)</f>
        <v>-0.23055555555555551</v>
      </c>
      <c r="O208" s="8">
        <f>IF(OR(F208="férié travaillé",F208="travail",F208="asa",F208="rtt"),J208-H208+IF(H208&gt;J208,1),INDEX(ref!$E$22:'ref'!$E$37,MATCH(F208,gerald2,0)))</f>
        <v>0.59930555555555554</v>
      </c>
      <c r="P208" s="14">
        <f>IF(SUM(O208-ref!E$4)&lt;0,0,SUM(O208-ref!E$4))</f>
        <v>9.9305555555555536E-2</v>
      </c>
      <c r="Q208" s="24">
        <f t="shared" si="164"/>
        <v>1.557638888888889</v>
      </c>
      <c r="S208" s="137"/>
      <c r="T208" s="92">
        <v>0.54166666666666663</v>
      </c>
      <c r="U208" s="129">
        <v>0.57291666666666663</v>
      </c>
      <c r="V208" s="142">
        <f t="shared" si="161"/>
        <v>3.125E-2</v>
      </c>
      <c r="W208" s="141">
        <f>IF(V208="","",IF(SUM(V208-ref!E$38)&gt;0,0,IF(V208=0, "0:00", SUM(V208-ref!E$38))))</f>
        <v>0</v>
      </c>
      <c r="X208" s="137"/>
      <c r="Y208" s="92"/>
      <c r="Z208" s="247"/>
      <c r="AA208" s="142">
        <f t="shared" si="165"/>
        <v>0</v>
      </c>
      <c r="AB208" s="245" t="str">
        <f>IF(AA208="","",IF(SUM(AA208-ref!E$38)&gt;0,0,IF(AA208=0, "0:00", SUM(AA208-ref!E$38))))</f>
        <v>0:00</v>
      </c>
      <c r="AC208" s="29"/>
      <c r="AD208" s="106"/>
      <c r="AE208" s="114">
        <f>Q211</f>
        <v>1.7326388888888891</v>
      </c>
      <c r="AF208" s="77">
        <f t="shared" si="166"/>
        <v>1</v>
      </c>
      <c r="AG208" s="19"/>
      <c r="AH208" s="178" t="s">
        <v>74</v>
      </c>
      <c r="AI208" s="54" t="s">
        <v>68</v>
      </c>
      <c r="AJ208" s="177" t="s">
        <v>75</v>
      </c>
      <c r="AK208" s="55" cm="1">
        <f t="array" ref="AK208">IF(ISNUMBER(G209),G209-_xlfn.AGGREGATE(14,6,(K$4:K208&lt;G209)*K$4:K208,1),"")</f>
        <v>0.48402777778392192</v>
      </c>
      <c r="AL208" s="20">
        <f>IF(ISNUMBER(AK208),ABS(IF(SUM(AK208-ref!E$9)&gt;0,0,SUM(AK208-ref!E$9))),"")</f>
        <v>0</v>
      </c>
      <c r="AQ208"/>
    </row>
    <row r="209" spans="2:43" x14ac:dyDescent="0.25">
      <c r="B209" s="81">
        <v>5</v>
      </c>
      <c r="C209" s="90" t="s">
        <v>20</v>
      </c>
      <c r="D209" s="88"/>
      <c r="E209" s="154">
        <f t="shared" si="162"/>
        <v>43974</v>
      </c>
      <c r="F209" s="164" t="s">
        <v>20</v>
      </c>
      <c r="G209" s="155">
        <f t="shared" si="159"/>
        <v>43974.45416666667</v>
      </c>
      <c r="H209" s="29">
        <v>0.45416666666666666</v>
      </c>
      <c r="I209" s="23">
        <f t="shared" si="163"/>
        <v>3.6805555555555536E-2</v>
      </c>
      <c r="J209" s="29">
        <v>0.66597222222222219</v>
      </c>
      <c r="K209" s="46">
        <f t="shared" si="160"/>
        <v>43974.665972222225</v>
      </c>
      <c r="L209" s="21">
        <f>IF(OR(F209="télétravail",F209="férié travaillé",F209="travail"),(J209-H209+IF(H209&gt;J209,1)-I209),INDEX(ref!$E$22:'ref'!$E$37,MATCH(F209,gerald3,0)))</f>
        <v>0.17499999999999999</v>
      </c>
      <c r="M209" s="13">
        <f>IF(SUM(L209-ref!E$8)&lt;0,0,SUM(L209-ref!E$8))</f>
        <v>0</v>
      </c>
      <c r="N209" s="252">
        <f>L209-(hs!D208+hs!F208+hs!H208+hs!J208)</f>
        <v>-3.6805555555555536E-2</v>
      </c>
      <c r="O209" s="8">
        <f>IF(OR(F209="férié travaillé",F209="travail",F209="asa",F209="rtt"),J209-H209+IF(H209&gt;J209,1),INDEX(ref!$E$22:'ref'!$E$37,MATCH(F209,gerald2,0)))</f>
        <v>0.21180555555555552</v>
      </c>
      <c r="P209" s="14">
        <f>IF(SUM(O209-ref!E$4)&lt;0,0,SUM(O209-ref!E$4))</f>
        <v>0</v>
      </c>
      <c r="Q209" s="143">
        <f t="shared" si="164"/>
        <v>1.7326388888888891</v>
      </c>
      <c r="S209" s="137"/>
      <c r="T209" s="92">
        <v>0.51666666666666672</v>
      </c>
      <c r="U209" s="129">
        <v>0.55347222222222225</v>
      </c>
      <c r="V209" s="142">
        <f t="shared" si="161"/>
        <v>3.6805555555555536E-2</v>
      </c>
      <c r="W209" s="141">
        <f>IF(V209="","",IF(SUM(V209-ref!E$38)&gt;0,0,IF(V209=0, "0:00", SUM(V209-ref!E$38))))</f>
        <v>0</v>
      </c>
      <c r="X209" s="137"/>
      <c r="Y209" s="92"/>
      <c r="Z209" s="247"/>
      <c r="AA209" s="142">
        <f t="shared" si="165"/>
        <v>0</v>
      </c>
      <c r="AB209" s="245" t="str">
        <f>IF(AA209="","",IF(SUM(AA209-ref!E$38)&gt;0,0,IF(AA209=0, "0:00", SUM(AA209-ref!E$38))))</f>
        <v>0:00</v>
      </c>
      <c r="AC209" s="29"/>
      <c r="AD209" s="106"/>
      <c r="AE209" s="117" t="s">
        <v>47</v>
      </c>
      <c r="AF209" s="77">
        <f t="shared" si="166"/>
        <v>1</v>
      </c>
      <c r="AG209" s="19"/>
      <c r="AH209" s="178" t="s">
        <v>75</v>
      </c>
      <c r="AI209" s="54" t="s">
        <v>68</v>
      </c>
      <c r="AJ209" s="177" t="s">
        <v>76</v>
      </c>
      <c r="AK209" s="55" t="str" cm="1">
        <f t="array" ref="AK209">IF(ISNUMBER(G210),G210-_xlfn.AGGREGATE(14,6,(K$4:K209&lt;G210)*K$4:K209,1),"")</f>
        <v/>
      </c>
      <c r="AL209" s="20" t="str">
        <f>IF(ISNUMBER(AK209),ABS(IF(SUM(AK209-ref!E$9)&gt;0,0,SUM(AK209-ref!E$9))),"")</f>
        <v/>
      </c>
      <c r="AQ209"/>
    </row>
    <row r="210" spans="2:43" ht="15.75" thickBot="1" x14ac:dyDescent="0.3">
      <c r="B210"/>
      <c r="C210" s="89"/>
      <c r="D210" s="89"/>
      <c r="E210" s="154">
        <f t="shared" si="162"/>
        <v>43975</v>
      </c>
      <c r="F210" s="164" t="s">
        <v>19</v>
      </c>
      <c r="G210" s="155" t="str">
        <f t="shared" si="159"/>
        <v/>
      </c>
      <c r="H210" s="29"/>
      <c r="I210" s="23">
        <f t="shared" si="163"/>
        <v>0</v>
      </c>
      <c r="J210" s="29"/>
      <c r="K210" s="46" t="str">
        <f t="shared" si="160"/>
        <v/>
      </c>
      <c r="L210" s="21">
        <f>IF(OR(F210="télétravail",F210="férié travaillé",F210="travail"),(J210-H210+IF(H210&gt;J210,1)-I210),INDEX(ref!$E$22:'ref'!$E$37,MATCH(F210,gerald3,0)))</f>
        <v>0</v>
      </c>
      <c r="M210" s="13">
        <f>IF(SUM(L210-ref!E$8)&lt;0,0,SUM(L210-ref!E$8))</f>
        <v>0</v>
      </c>
      <c r="N210" s="252">
        <f>L210-(hs!D209+hs!F209+hs!H209+hs!J209)</f>
        <v>0</v>
      </c>
      <c r="O210" s="8">
        <f>IF(OR(F210="férié travaillé",F210="travail",F210="asa",F210="rtt"),J210-H210+IF(H210&gt;J210,1),INDEX(ref!$E$22:'ref'!$E$37,MATCH(F210,gerald2,0)))</f>
        <v>0</v>
      </c>
      <c r="P210" s="14">
        <f>IF(SUM(O210-ref!E$4)&lt;0,0,SUM(O210-ref!E$4))</f>
        <v>0</v>
      </c>
      <c r="Q210" s="97">
        <f t="shared" si="164"/>
        <v>1.7326388888888891</v>
      </c>
      <c r="S210" s="137"/>
      <c r="T210" s="92"/>
      <c r="U210" s="129"/>
      <c r="V210" s="142">
        <f t="shared" si="161"/>
        <v>0</v>
      </c>
      <c r="W210" s="141" t="str">
        <f>IF(V210="","",IF(SUM(V210-ref!E$38)&gt;0,0,IF(V210=0, "0:00", SUM(V210-ref!E$38))))</f>
        <v>0:00</v>
      </c>
      <c r="X210" s="137"/>
      <c r="Y210" s="92"/>
      <c r="Z210" s="247"/>
      <c r="AA210" s="142">
        <f t="shared" si="165"/>
        <v>0</v>
      </c>
      <c r="AB210" s="245" t="str">
        <f>IF(AA210="","",IF(SUM(AA210-ref!E$38)&gt;0,0,IF(AA210=0, "0:00", SUM(AA210-ref!E$38))))</f>
        <v>0:00</v>
      </c>
      <c r="AC210" s="29"/>
      <c r="AD210" s="106"/>
      <c r="AE210" s="118">
        <f>ref!E$11</f>
        <v>2</v>
      </c>
      <c r="AF210" s="77">
        <f t="shared" si="166"/>
        <v>0</v>
      </c>
      <c r="AG210" s="19"/>
      <c r="AH210" s="178" t="s">
        <v>76</v>
      </c>
      <c r="AI210" s="54" t="s">
        <v>68</v>
      </c>
      <c r="AJ210" s="177" t="s">
        <v>77</v>
      </c>
      <c r="AK210" s="55" t="str" cm="1">
        <f t="array" ref="AK210">IF(ISNUMBER(G211),G211-_xlfn.AGGREGATE(14,6,(K$4:K210&lt;G211)*K$4:K210,1),"")</f>
        <v/>
      </c>
      <c r="AL210" s="20" t="str">
        <f>IF(ISNUMBER(AK210),ABS(IF(SUM(AK210-ref!E$9)&gt;0,0,SUM(AK210-ref!E$9))),"")</f>
        <v/>
      </c>
      <c r="AQ210"/>
    </row>
    <row r="211" spans="2:43" ht="15.75" thickBot="1" x14ac:dyDescent="0.3">
      <c r="B211"/>
      <c r="C211" s="89"/>
      <c r="D211" s="89"/>
      <c r="E211" s="154">
        <f t="shared" si="162"/>
        <v>43976</v>
      </c>
      <c r="F211" s="165" t="s">
        <v>19</v>
      </c>
      <c r="G211" s="155" t="str">
        <f t="shared" si="159"/>
        <v/>
      </c>
      <c r="H211" s="29"/>
      <c r="I211" s="23">
        <f t="shared" si="163"/>
        <v>0</v>
      </c>
      <c r="J211" s="29"/>
      <c r="K211" s="46" t="str">
        <f t="shared" si="160"/>
        <v/>
      </c>
      <c r="L211" s="21">
        <f>IF(OR(F211="télétravail",F211="férié travaillé",F211="travail"),(J211-H211+IF(H211&gt;J211,1)-I211),INDEX(ref!$E$22:'ref'!$E$37,MATCH(F211,gerald3,0)))</f>
        <v>0</v>
      </c>
      <c r="M211" s="13">
        <f>IF(SUM(L211-ref!E$8)&lt;0,0,SUM(L211-ref!E$8))</f>
        <v>0</v>
      </c>
      <c r="N211" s="252">
        <f>L211-(hs!D210+hs!F210+hs!H210+hs!J210)</f>
        <v>0</v>
      </c>
      <c r="O211" s="8">
        <f>IF(OR(F211="férié travaillé",F211="travail",F211="asa",F211="rtt"),J211-H211+IF(H211&gt;J211,1),INDEX(ref!$E$22:'ref'!$E$37,MATCH(F211,gerald2,0)))</f>
        <v>0</v>
      </c>
      <c r="P211" s="14">
        <f>IF(SUM(O211-ref!E$4)&lt;0,0,SUM(O211-ref!E$4))</f>
        <v>0</v>
      </c>
      <c r="Q211" s="94">
        <f t="shared" si="164"/>
        <v>1.7326388888888891</v>
      </c>
      <c r="S211" s="138"/>
      <c r="T211" s="92"/>
      <c r="U211" s="129"/>
      <c r="V211" s="142">
        <f t="shared" si="161"/>
        <v>0</v>
      </c>
      <c r="W211" s="141" t="str">
        <f>IF(V211="","",IF(SUM(V211-ref!E$38)&gt;0,0,IF(V211=0, "0:00", SUM(V211-ref!E$38))))</f>
        <v>0:00</v>
      </c>
      <c r="X211" s="138"/>
      <c r="Y211" s="92"/>
      <c r="Z211" s="247"/>
      <c r="AA211" s="142">
        <f t="shared" si="165"/>
        <v>0</v>
      </c>
      <c r="AB211" s="246" t="str">
        <f>IF(AA211="","",IF(SUM(AA211-ref!E$38)&gt;0,0,IF(AA211=0, "0:00", SUM(AA211-ref!E$38))))</f>
        <v>0:00</v>
      </c>
      <c r="AC211" s="29"/>
      <c r="AD211" s="106"/>
      <c r="AE211" s="110">
        <f>IF(SUM(Q211-ref!E$11)&lt;0,0,SUM(Q211-ref!E$11))</f>
        <v>0</v>
      </c>
      <c r="AF211" s="77">
        <f t="shared" si="166"/>
        <v>0</v>
      </c>
      <c r="AG211" s="19"/>
      <c r="AQ211"/>
    </row>
    <row r="212" spans="2:43" x14ac:dyDescent="0.25">
      <c r="C212" s="89"/>
      <c r="D212" s="89"/>
      <c r="W212" s="74"/>
      <c r="X212" s="2"/>
      <c r="Z212"/>
      <c r="AA212" s="2"/>
      <c r="AB212" s="2"/>
      <c r="AC212" s="127"/>
      <c r="AQ212"/>
    </row>
    <row r="213" spans="2:43" x14ac:dyDescent="0.25">
      <c r="C213" s="89"/>
      <c r="D213" s="89"/>
      <c r="X213" s="2"/>
      <c r="Z213"/>
      <c r="AA213" s="2"/>
      <c r="AB213" s="2"/>
      <c r="AC213" s="127"/>
      <c r="AQ213"/>
    </row>
    <row r="214" spans="2:43" ht="15.75" thickBot="1" x14ac:dyDescent="0.3">
      <c r="C214" s="89"/>
      <c r="D214" s="89"/>
      <c r="W214" s="74"/>
      <c r="X214" s="2"/>
      <c r="Z214"/>
      <c r="AA214" s="2"/>
      <c r="AB214" s="2"/>
      <c r="AC214" s="127"/>
      <c r="AQ214"/>
    </row>
    <row r="215" spans="2:43" x14ac:dyDescent="0.25">
      <c r="B215" s="78" t="s">
        <v>1</v>
      </c>
      <c r="C215" s="90" t="s">
        <v>20</v>
      </c>
      <c r="D215" s="88"/>
      <c r="E215" s="154">
        <f>DATE(ref!E$2,B219,B217)</f>
        <v>43977</v>
      </c>
      <c r="F215" s="158" t="s">
        <v>20</v>
      </c>
      <c r="G215" s="155">
        <f t="shared" ref="G215:G221" si="167">IF(AND(J215="",H215=""),"",E215+H215)</f>
        <v>43977.378472222219</v>
      </c>
      <c r="H215" s="29">
        <v>0.37847222222222221</v>
      </c>
      <c r="I215" s="23">
        <f>SUM(V215+AA215+AC215)</f>
        <v>4.2361111111111072E-2</v>
      </c>
      <c r="J215" s="29">
        <v>0.77222222222222225</v>
      </c>
      <c r="K215" s="46">
        <f t="shared" ref="K215:K221" si="168">IF(AND(H215="",J215=""),"",E215+J215+(H215&gt;J215))</f>
        <v>43977.772222222222</v>
      </c>
      <c r="L215" s="21">
        <f>IF(OR(F215="télétravail",F215="férié travaillé",F215="travail"),(J215-H215+IF(H215&gt;J215,1)-I215),INDEX(ref!$E$22:'ref'!$E$37,MATCH(F215,gerald3,0)))</f>
        <v>0.35138888888888897</v>
      </c>
      <c r="M215" s="13">
        <f>IF(SUM(L215-ref!E$8)&lt;0,0,SUM(L215-ref!E$8))</f>
        <v>0</v>
      </c>
      <c r="N215" s="252">
        <f>L215-(hs!D214+hs!F214+hs!H214+hs!J214)</f>
        <v>-4.3749999999999956E-2</v>
      </c>
      <c r="O215" s="8">
        <f>IF(OR(F215="férié travaillé",F215="travail",F215="asa",F215="rtt"),J215-H215+IF(H215&gt;J215,1),INDEX(ref!$E$22:'ref'!$E$37,MATCH(F215,gerald2,0)))</f>
        <v>0.39375000000000004</v>
      </c>
      <c r="P215" s="14">
        <f>IF(SUM(O215-ref!E$4)&lt;0,0,SUM(O215-ref!E$4))</f>
        <v>0</v>
      </c>
      <c r="Q215" s="21">
        <f>L215</f>
        <v>0.35138888888888897</v>
      </c>
      <c r="S215" s="136"/>
      <c r="T215" s="92">
        <v>0.52638888888888891</v>
      </c>
      <c r="U215" s="129">
        <v>0.56874999999999998</v>
      </c>
      <c r="V215" s="142">
        <f t="shared" ref="V215:V221" si="169">U215-T215</f>
        <v>4.2361111111111072E-2</v>
      </c>
      <c r="W215" s="141">
        <f>IF(V215="","",IF(SUM(V215-ref!E$38)&gt;0,0,IF(V215=0, "0:00", SUM(V215-ref!E$38))))</f>
        <v>0</v>
      </c>
      <c r="X215" s="136"/>
      <c r="Y215" s="92"/>
      <c r="Z215" s="247"/>
      <c r="AA215" s="142">
        <f>Z215-Y215</f>
        <v>0</v>
      </c>
      <c r="AB215" s="244" t="str">
        <f>IF(AA215="","",IF(SUM(AA215-ref!E$38)&gt;0,0,IF(AA215=0, "0:00", SUM(AA215-ref!E$38))))</f>
        <v>0:00</v>
      </c>
      <c r="AC215" s="29"/>
      <c r="AD215" s="106"/>
      <c r="AE215" s="111">
        <f>SUM(AF215:AF221)</f>
        <v>6</v>
      </c>
      <c r="AF215" s="77">
        <f t="shared" ref="AF215:AF221" si="170">IF(AND(H215&lt;&gt;"",J215&lt;&gt;""),1,0+OR(N(J214)&lt;N(H214),F215="récupération",F215="congé 1 jour",F215="congé 1/2 jour ",F215="congé 5h24",F215="arrêt maladie",F215="arrêt travail",F215="férié ",F215="congé parentale",F215="congé de naissance"))</f>
        <v>1</v>
      </c>
      <c r="AG215" s="19"/>
      <c r="AH215" s="176" t="s">
        <v>71</v>
      </c>
      <c r="AI215" s="54" t="s">
        <v>68</v>
      </c>
      <c r="AJ215" s="177" t="s">
        <v>72</v>
      </c>
      <c r="AK215" s="55" cm="1">
        <f t="array" ref="AK215">IF(ISNUMBER(G216),G216-_xlfn.AGGREGATE(14,6,(K$4:K215&lt;G216)*K$4:K215,1),"")</f>
        <v>0.60763888889050577</v>
      </c>
      <c r="AL215" s="20">
        <f>IF(ISNUMBER(AK215),ABS(IF(SUM(AK215-ref!E$9)&gt;0,0,SUM(AK215-ref!E$9))),"")</f>
        <v>0</v>
      </c>
      <c r="AQ215"/>
    </row>
    <row r="216" spans="2:43" x14ac:dyDescent="0.25">
      <c r="B216" s="79" t="s">
        <v>1</v>
      </c>
      <c r="C216" s="90" t="s">
        <v>20</v>
      </c>
      <c r="D216" s="88"/>
      <c r="E216" s="154">
        <f t="shared" ref="E216:E221" si="171">E215+1</f>
        <v>43978</v>
      </c>
      <c r="F216" s="159" t="s">
        <v>20</v>
      </c>
      <c r="G216" s="155">
        <f t="shared" si="167"/>
        <v>43978.379861111112</v>
      </c>
      <c r="H216" s="29">
        <v>0.37986111111111109</v>
      </c>
      <c r="I216" s="23">
        <f t="shared" ref="I216:I221" si="172">SUM(V216+AA216+AC216)</f>
        <v>3.1944444444444442E-2</v>
      </c>
      <c r="J216" s="29">
        <v>0.76458333333333328</v>
      </c>
      <c r="K216" s="46">
        <f t="shared" si="168"/>
        <v>43978.76458333333</v>
      </c>
      <c r="L216" s="21">
        <f>IF(OR(F216="télétravail",F216="férié travaillé",F216="travail"),(J216-H216+IF(H216&gt;J216,1)-I216),INDEX(ref!$E$22:'ref'!$E$37,MATCH(F216,gerald3,0)))</f>
        <v>0.35277777777777775</v>
      </c>
      <c r="M216" s="13">
        <f>IF(SUM(L216-ref!E$8)&lt;0,0,SUM(L216-ref!E$8))</f>
        <v>0</v>
      </c>
      <c r="N216" s="252">
        <f>L216-(hs!D215+hs!F215+hs!H215+hs!J215)</f>
        <v>-3.1944444444444442E-2</v>
      </c>
      <c r="O216" s="8">
        <f>IF(OR(F216="férié travaillé",F216="travail",F216="asa",F216="rtt"),J216-H216+IF(H216&gt;J216,1),INDEX(ref!$E$22:'ref'!$E$37,MATCH(F216,gerald2,0)))</f>
        <v>0.38472222222222219</v>
      </c>
      <c r="P216" s="14">
        <f>IF(SUM(O216-ref!E$4)&lt;0,0,SUM(O216-ref!E$4))</f>
        <v>0</v>
      </c>
      <c r="Q216" s="24">
        <f t="shared" ref="Q216:Q221" si="173">Q215+L216</f>
        <v>0.70416666666666672</v>
      </c>
      <c r="S216" s="137"/>
      <c r="T216" s="92">
        <v>0.52222222222222225</v>
      </c>
      <c r="U216" s="129">
        <v>0.5541666666666667</v>
      </c>
      <c r="V216" s="142">
        <f t="shared" si="169"/>
        <v>3.1944444444444442E-2</v>
      </c>
      <c r="W216" s="141">
        <f>IF(V216="","",IF(SUM(V216-ref!E$38)&gt;0,0,IF(V216=0, "0:00", SUM(V216-ref!E$38))))</f>
        <v>0</v>
      </c>
      <c r="X216" s="137"/>
      <c r="Y216" s="92"/>
      <c r="Z216" s="247"/>
      <c r="AA216" s="142">
        <f t="shared" ref="AA216:AA221" si="174">Z216-Y216</f>
        <v>0</v>
      </c>
      <c r="AB216" s="245" t="str">
        <f>IF(AA216="","",IF(SUM(AA216-ref!E$38)&gt;0,0,IF(AA216=0, "0:00", SUM(AA216-ref!E$38))))</f>
        <v>0:00</v>
      </c>
      <c r="AC216" s="29"/>
      <c r="AD216" s="106"/>
      <c r="AE216" s="112">
        <f>IF(SUM(AE215-ref!E$7)&lt;0,0,SUM(AE215-ref!E$7))</f>
        <v>0</v>
      </c>
      <c r="AF216" s="77">
        <f t="shared" si="170"/>
        <v>1</v>
      </c>
      <c r="AG216" s="19"/>
      <c r="AH216" s="178" t="s">
        <v>72</v>
      </c>
      <c r="AI216" s="54" t="s">
        <v>68</v>
      </c>
      <c r="AJ216" s="177" t="s">
        <v>73</v>
      </c>
      <c r="AK216" s="55" cm="1">
        <f t="array" ref="AK216">IF(ISNUMBER(G217),G217-_xlfn.AGGREGATE(14,6,(K$4:K216&lt;G217)*K$4:K216,1),"")</f>
        <v>0.61041666667006211</v>
      </c>
      <c r="AL216" s="20">
        <f>IF(ISNUMBER(AK216),ABS(IF(SUM(AK216-ref!E$9)&gt;0,0,SUM(AK216-ref!E$9))),"")</f>
        <v>0</v>
      </c>
      <c r="AQ216"/>
    </row>
    <row r="217" spans="2:43" x14ac:dyDescent="0.25">
      <c r="B217" s="80">
        <v>27</v>
      </c>
      <c r="C217" s="90" t="s">
        <v>20</v>
      </c>
      <c r="D217" s="88"/>
      <c r="E217" s="154">
        <f t="shared" si="171"/>
        <v>43979</v>
      </c>
      <c r="F217" s="159" t="s">
        <v>20</v>
      </c>
      <c r="G217" s="155">
        <f t="shared" si="167"/>
        <v>43979.375</v>
      </c>
      <c r="H217" s="29">
        <v>0.375</v>
      </c>
      <c r="I217" s="23">
        <f t="shared" si="172"/>
        <v>3.2638888888888884E-2</v>
      </c>
      <c r="J217" s="29">
        <v>0.85902777777777772</v>
      </c>
      <c r="K217" s="46">
        <f t="shared" si="168"/>
        <v>43979.859027777777</v>
      </c>
      <c r="L217" s="21">
        <f>IF(OR(F217="télétravail",F217="férié travaillé",F217="travail"),(J217-H217+IF(H217&gt;J217,1)-I217),INDEX(ref!$E$22:'ref'!$E$37,MATCH(F217,gerald3,0)))</f>
        <v>0.45138888888888884</v>
      </c>
      <c r="M217" s="13">
        <f>IF(SUM(L217-ref!E$8)&lt;0,0,SUM(L217-ref!E$8))</f>
        <v>3.4722222222222154E-2</v>
      </c>
      <c r="N217" s="252">
        <f>L217-(hs!D216+hs!F216+hs!H216+hs!J216)</f>
        <v>-0.12083333333333324</v>
      </c>
      <c r="O217" s="8">
        <f>IF(OR(F217="férié travaillé",F217="travail",F217="asa",F217="rtt"),J217-H217+IF(H217&gt;J217,1),INDEX(ref!$E$22:'ref'!$E$37,MATCH(F217,gerald2,0)))</f>
        <v>0.48402777777777772</v>
      </c>
      <c r="P217" s="14">
        <f>IF(SUM(O217-ref!E$4)&lt;0,0,SUM(O217-ref!E$4))</f>
        <v>0</v>
      </c>
      <c r="Q217" s="24">
        <f t="shared" si="173"/>
        <v>1.1555555555555554</v>
      </c>
      <c r="S217" s="137"/>
      <c r="T217" s="92">
        <v>0.51249999999999996</v>
      </c>
      <c r="U217" s="129">
        <v>0.54513888888888884</v>
      </c>
      <c r="V217" s="142">
        <f t="shared" si="169"/>
        <v>3.2638888888888884E-2</v>
      </c>
      <c r="W217" s="141">
        <f>IF(V217="","",IF(SUM(V217-ref!E$38)&gt;0,0,IF(V217=0, "0:00", SUM(V217-ref!E$38))))</f>
        <v>0</v>
      </c>
      <c r="X217" s="137"/>
      <c r="Y217" s="92"/>
      <c r="Z217" s="247"/>
      <c r="AA217" s="142">
        <f t="shared" si="174"/>
        <v>0</v>
      </c>
      <c r="AB217" s="245" t="str">
        <f>IF(AA217="","",IF(SUM(AA217-ref!E$38)&gt;0,0,IF(AA217=0, "0:00", SUM(AA217-ref!E$38))))</f>
        <v>0:00</v>
      </c>
      <c r="AC217" s="29"/>
      <c r="AD217" s="106"/>
      <c r="AE217" s="113" t="s">
        <v>29</v>
      </c>
      <c r="AF217" s="77">
        <f t="shared" si="170"/>
        <v>1</v>
      </c>
      <c r="AG217" s="19"/>
      <c r="AH217" s="178" t="s">
        <v>73</v>
      </c>
      <c r="AI217" s="54" t="s">
        <v>68</v>
      </c>
      <c r="AJ217" s="177" t="s">
        <v>74</v>
      </c>
      <c r="AK217" s="55" cm="1">
        <f t="array" ref="AK217">IF(ISNUMBER(G218),G218-_xlfn.AGGREGATE(14,6,(K$4:K217&lt;G218)*K$4:K217,1),"")</f>
        <v>0.52152777778246673</v>
      </c>
      <c r="AL217" s="20">
        <f>IF(ISNUMBER(AK217),ABS(IF(SUM(AK217-ref!E$9)&gt;0,0,SUM(AK217-ref!E$9))),"")</f>
        <v>0</v>
      </c>
      <c r="AQ217"/>
    </row>
    <row r="218" spans="2:43" x14ac:dyDescent="0.25">
      <c r="B218" s="79" t="s">
        <v>58</v>
      </c>
      <c r="C218" s="90" t="s">
        <v>20</v>
      </c>
      <c r="D218" s="88"/>
      <c r="E218" s="154">
        <f t="shared" si="171"/>
        <v>43980</v>
      </c>
      <c r="F218" s="159" t="s">
        <v>20</v>
      </c>
      <c r="G218" s="155">
        <f t="shared" si="167"/>
        <v>43980.380555555559</v>
      </c>
      <c r="H218" s="29">
        <v>0.38055555555555554</v>
      </c>
      <c r="I218" s="23">
        <f t="shared" si="172"/>
        <v>3.472222222222221E-2</v>
      </c>
      <c r="J218" s="29">
        <v>0.96458333333333335</v>
      </c>
      <c r="K218" s="46">
        <f t="shared" si="168"/>
        <v>43980.964583333334</v>
      </c>
      <c r="L218" s="21">
        <f>IF(OR(F218="télétravail",F218="férié travaillé",F218="travail"),(J218-H218+IF(H218&gt;J218,1)-I218),INDEX(ref!$E$22:'ref'!$E$37,MATCH(F218,gerald3,0)))</f>
        <v>0.5493055555555556</v>
      </c>
      <c r="M218" s="13">
        <f>IF(SUM(L218-ref!E$8)&lt;0,0,SUM(L218-ref!E$8))</f>
        <v>0.13263888888888892</v>
      </c>
      <c r="N218" s="252">
        <f>L218-(hs!D217+hs!F217+hs!H217+hs!J217)</f>
        <v>-0.22847222222222219</v>
      </c>
      <c r="O218" s="8">
        <f>IF(OR(F218="férié travaillé",F218="travail",F218="asa",F218="rtt"),J218-H218+IF(H218&gt;J218,1),INDEX(ref!$E$22:'ref'!$E$37,MATCH(F218,gerald2,0)))</f>
        <v>0.58402777777777781</v>
      </c>
      <c r="P218" s="14">
        <f>IF(SUM(O218-ref!E$4)&lt;0,0,SUM(O218-ref!E$4))</f>
        <v>8.4027777777777812E-2</v>
      </c>
      <c r="Q218" s="24">
        <f t="shared" si="173"/>
        <v>1.7048611111111112</v>
      </c>
      <c r="S218" s="137"/>
      <c r="T218" s="92">
        <v>0.53819444444444442</v>
      </c>
      <c r="U218" s="129">
        <v>0.57291666666666663</v>
      </c>
      <c r="V218" s="142">
        <f t="shared" si="169"/>
        <v>3.472222222222221E-2</v>
      </c>
      <c r="W218" s="141">
        <f>IF(V218="","",IF(SUM(V218-ref!E$38)&gt;0,0,IF(V218=0, "0:00", SUM(V218-ref!E$38))))</f>
        <v>0</v>
      </c>
      <c r="X218" s="137"/>
      <c r="Y218" s="92"/>
      <c r="Z218" s="247"/>
      <c r="AA218" s="142">
        <f t="shared" si="174"/>
        <v>0</v>
      </c>
      <c r="AB218" s="245" t="str">
        <f>IF(AA218="","",IF(SUM(AA218-ref!E$38)&gt;0,0,IF(AA218=0, "0:00", SUM(AA218-ref!E$38))))</f>
        <v>0:00</v>
      </c>
      <c r="AC218" s="29"/>
      <c r="AD218" s="106"/>
      <c r="AE218" s="114">
        <f>Q221</f>
        <v>2.3569444444444443</v>
      </c>
      <c r="AF218" s="77">
        <f t="shared" si="170"/>
        <v>1</v>
      </c>
      <c r="AG218" s="19"/>
      <c r="AH218" s="178" t="s">
        <v>74</v>
      </c>
      <c r="AI218" s="54" t="s">
        <v>68</v>
      </c>
      <c r="AJ218" s="177" t="s">
        <v>75</v>
      </c>
      <c r="AK218" s="55" cm="1">
        <f t="array" ref="AK218">IF(ISNUMBER(G219),G219-_xlfn.AGGREGATE(14,6,(K$4:K218&lt;G219)*K$4:K218,1),"")</f>
        <v>0.41666666666424135</v>
      </c>
      <c r="AL218" s="20">
        <f>IF(ISNUMBER(AK218),ABS(IF(SUM(AK218-ref!E$9)&gt;0,0,SUM(AK218-ref!E$9))),"")</f>
        <v>4.1666666669091967E-2</v>
      </c>
      <c r="AQ218"/>
    </row>
    <row r="219" spans="2:43" x14ac:dyDescent="0.25">
      <c r="B219" s="81">
        <v>5</v>
      </c>
      <c r="C219" s="90" t="s">
        <v>20</v>
      </c>
      <c r="D219" s="88"/>
      <c r="E219" s="154">
        <f t="shared" si="171"/>
        <v>43981</v>
      </c>
      <c r="F219" s="159" t="s">
        <v>20</v>
      </c>
      <c r="G219" s="155">
        <f t="shared" si="167"/>
        <v>43981.381249999999</v>
      </c>
      <c r="H219" s="29">
        <v>0.38124999999999998</v>
      </c>
      <c r="I219" s="23">
        <f t="shared" si="172"/>
        <v>2.6388888888888906E-2</v>
      </c>
      <c r="J219" s="29">
        <v>0.74236111111111114</v>
      </c>
      <c r="K219" s="46">
        <f t="shared" si="168"/>
        <v>43981.742361111108</v>
      </c>
      <c r="L219" s="21">
        <f>IF(OR(F219="télétravail",F219="férié travaillé",F219="travail"),(J219-H219+IF(H219&gt;J219,1)-I219),INDEX(ref!$E$22:'ref'!$E$37,MATCH(F219,gerald3,0)))</f>
        <v>0.33472222222222225</v>
      </c>
      <c r="M219" s="13">
        <f>IF(SUM(L219-ref!E$8)&lt;0,0,SUM(L219-ref!E$8))</f>
        <v>0</v>
      </c>
      <c r="N219" s="252">
        <f>L219-(hs!D218+hs!F218+hs!H218+hs!J218)</f>
        <v>-2.6388888888888906E-2</v>
      </c>
      <c r="O219" s="8">
        <f>IF(OR(F219="férié travaillé",F219="travail",F219="asa",F219="rtt"),J219-H219+IF(H219&gt;J219,1),INDEX(ref!$E$22:'ref'!$E$37,MATCH(F219,gerald2,0)))</f>
        <v>0.36111111111111116</v>
      </c>
      <c r="P219" s="14">
        <f>IF(SUM(O219-ref!E$4)&lt;0,0,SUM(O219-ref!E$4))</f>
        <v>0</v>
      </c>
      <c r="Q219" s="143">
        <f t="shared" si="173"/>
        <v>2.0395833333333333</v>
      </c>
      <c r="S219" s="137"/>
      <c r="T219" s="92">
        <v>0.55347222222222225</v>
      </c>
      <c r="U219" s="129">
        <v>0.57986111111111116</v>
      </c>
      <c r="V219" s="142">
        <f t="shared" si="169"/>
        <v>2.6388888888888906E-2</v>
      </c>
      <c r="W219" s="141">
        <f>IF(V219="","",IF(SUM(V219-ref!E$38)&gt;0,0,IF(V219=0, "0:00", SUM(V219-ref!E$38))))</f>
        <v>-4.8611111111110938E-3</v>
      </c>
      <c r="X219" s="137"/>
      <c r="Y219" s="92"/>
      <c r="Z219" s="247"/>
      <c r="AA219" s="142">
        <f t="shared" si="174"/>
        <v>0</v>
      </c>
      <c r="AB219" s="245" t="str">
        <f>IF(AA219="","",IF(SUM(AA219-ref!E$38)&gt;0,0,IF(AA219=0, "0:00", SUM(AA219-ref!E$38))))</f>
        <v>0:00</v>
      </c>
      <c r="AC219" s="29"/>
      <c r="AD219" s="106"/>
      <c r="AE219" s="117" t="s">
        <v>47</v>
      </c>
      <c r="AF219" s="77">
        <f t="shared" si="170"/>
        <v>1</v>
      </c>
      <c r="AG219" s="19"/>
      <c r="AH219" s="178" t="s">
        <v>75</v>
      </c>
      <c r="AI219" s="54" t="s">
        <v>68</v>
      </c>
      <c r="AJ219" s="177" t="s">
        <v>76</v>
      </c>
      <c r="AK219" s="55" cm="1">
        <f t="array" ref="AK219">IF(ISNUMBER(G220),G220-_xlfn.AGGREGATE(14,6,(K$4:K219&lt;G220)*K$4:K219,1),"")</f>
        <v>0.67152777778392192</v>
      </c>
      <c r="AL219" s="20">
        <f>IF(ISNUMBER(AK219),ABS(IF(SUM(AK219-ref!E$9)&gt;0,0,SUM(AK219-ref!E$9))),"")</f>
        <v>0</v>
      </c>
      <c r="AQ219"/>
    </row>
    <row r="220" spans="2:43" ht="15.75" thickBot="1" x14ac:dyDescent="0.3">
      <c r="B220"/>
      <c r="C220" s="89"/>
      <c r="D220" s="89"/>
      <c r="E220" s="154">
        <f t="shared" si="171"/>
        <v>43982</v>
      </c>
      <c r="F220" s="159" t="s">
        <v>20</v>
      </c>
      <c r="G220" s="155">
        <f t="shared" si="167"/>
        <v>43982.413888888892</v>
      </c>
      <c r="H220" s="29">
        <v>0.41388888888888886</v>
      </c>
      <c r="I220" s="23">
        <f t="shared" si="172"/>
        <v>5.6944444444444464E-2</v>
      </c>
      <c r="J220" s="29">
        <v>0.78819444444444442</v>
      </c>
      <c r="K220" s="46">
        <f t="shared" si="168"/>
        <v>43982.788194444445</v>
      </c>
      <c r="L220" s="21">
        <f>IF(OR(F220="télétravail",F220="férié travaillé",F220="travail"),(J220-H220+IF(H220&gt;J220,1)-I220),INDEX(ref!$E$22:'ref'!$E$37,MATCH(F220,gerald3,0)))</f>
        <v>0.31736111111111109</v>
      </c>
      <c r="M220" s="13">
        <f>IF(SUM(L220-ref!E$8)&lt;0,0,SUM(L220-ref!E$8))</f>
        <v>0</v>
      </c>
      <c r="N220" s="252">
        <f>L220-(hs!D219+hs!F219+hs!H219+hs!J219)</f>
        <v>-0.37430555555555556</v>
      </c>
      <c r="O220" s="8">
        <f>IF(OR(F220="férié travaillé",F220="travail",F220="asa",F220="rtt"),J220-H220+IF(H220&gt;J220,1),INDEX(ref!$E$22:'ref'!$E$37,MATCH(F220,gerald2,0)))</f>
        <v>0.37430555555555556</v>
      </c>
      <c r="P220" s="14">
        <f>IF(SUM(O220-ref!E$4)&lt;0,0,SUM(O220-ref!E$4))</f>
        <v>0</v>
      </c>
      <c r="Q220" s="93">
        <f t="shared" si="173"/>
        <v>2.3569444444444443</v>
      </c>
      <c r="S220" s="137"/>
      <c r="T220" s="92">
        <v>0.5229166666666667</v>
      </c>
      <c r="U220" s="129">
        <v>0.57986111111111116</v>
      </c>
      <c r="V220" s="142">
        <f t="shared" si="169"/>
        <v>5.6944444444444464E-2</v>
      </c>
      <c r="W220" s="141">
        <f>IF(V220="","",IF(SUM(V220-ref!E$38)&gt;0,0,IF(V220=0, "0:00", SUM(V220-ref!E$38))))</f>
        <v>0</v>
      </c>
      <c r="X220" s="137"/>
      <c r="Y220" s="92"/>
      <c r="Z220" s="247"/>
      <c r="AA220" s="142">
        <f t="shared" si="174"/>
        <v>0</v>
      </c>
      <c r="AB220" s="245" t="str">
        <f>IF(AA220="","",IF(SUM(AA220-ref!E$38)&gt;0,0,IF(AA220=0, "0:00", SUM(AA220-ref!E$38))))</f>
        <v>0:00</v>
      </c>
      <c r="AC220" s="29"/>
      <c r="AD220" s="106"/>
      <c r="AE220" s="118">
        <f>ref!E$11</f>
        <v>2</v>
      </c>
      <c r="AF220" s="77">
        <f t="shared" si="170"/>
        <v>1</v>
      </c>
      <c r="AG220" s="19"/>
      <c r="AH220" s="178" t="s">
        <v>76</v>
      </c>
      <c r="AI220" s="54" t="s">
        <v>68</v>
      </c>
      <c r="AJ220" s="177" t="s">
        <v>77</v>
      </c>
      <c r="AK220" s="55" t="str" cm="1">
        <f t="array" ref="AK220">IF(ISNUMBER(G221),G221-_xlfn.AGGREGATE(14,6,(K$4:K220&lt;G221)*K$4:K220,1),"")</f>
        <v/>
      </c>
      <c r="AL220" s="20" t="str">
        <f>IF(ISNUMBER(AK220),ABS(IF(SUM(AK220-ref!E$9)&gt;0,0,SUM(AK220-ref!E$9))),"")</f>
        <v/>
      </c>
      <c r="AQ220"/>
    </row>
    <row r="221" spans="2:43" ht="15.75" thickBot="1" x14ac:dyDescent="0.3">
      <c r="B221"/>
      <c r="C221" s="89"/>
      <c r="D221" s="89"/>
      <c r="E221" s="154">
        <f t="shared" si="171"/>
        <v>43983</v>
      </c>
      <c r="F221" s="160" t="s">
        <v>19</v>
      </c>
      <c r="G221" s="155" t="str">
        <f t="shared" si="167"/>
        <v/>
      </c>
      <c r="H221" s="29"/>
      <c r="I221" s="23">
        <f t="shared" si="172"/>
        <v>0</v>
      </c>
      <c r="J221" s="29"/>
      <c r="K221" s="46" t="str">
        <f t="shared" si="168"/>
        <v/>
      </c>
      <c r="L221" s="21">
        <f>IF(OR(F221="télétravail",F221="férié travaillé",F221="travail"),(J221-H221+IF(H221&gt;J221,1)-I221),INDEX(ref!$E$22:'ref'!$E$37,MATCH(F221,gerald3,0)))</f>
        <v>0</v>
      </c>
      <c r="M221" s="13">
        <f>IF(SUM(L221-ref!E$8)&lt;0,0,SUM(L221-ref!E$8))</f>
        <v>0</v>
      </c>
      <c r="N221" s="252">
        <f>L221-(hs!D220+hs!F220+hs!H220+hs!J220)</f>
        <v>0</v>
      </c>
      <c r="O221" s="8">
        <f>IF(OR(F221="férié travaillé",F221="travail",F221="asa",F221="rtt"),J221-H221+IF(H221&gt;J221,1),INDEX(ref!$E$22:'ref'!$E$37,MATCH(F221,gerald2,0)))</f>
        <v>0</v>
      </c>
      <c r="P221" s="14">
        <f>IF(SUM(O221-ref!E$4)&lt;0,0,SUM(O221-ref!E$4))</f>
        <v>0</v>
      </c>
      <c r="Q221" s="94">
        <f t="shared" si="173"/>
        <v>2.3569444444444443</v>
      </c>
      <c r="S221" s="138"/>
      <c r="T221" s="92"/>
      <c r="U221" s="129"/>
      <c r="V221" s="142">
        <f t="shared" si="169"/>
        <v>0</v>
      </c>
      <c r="W221" s="141" t="str">
        <f>IF(V221="","",IF(SUM(V221-ref!E$38)&gt;0,0,IF(V221=0, "0:00", SUM(V221-ref!E$38))))</f>
        <v>0:00</v>
      </c>
      <c r="X221" s="138"/>
      <c r="Y221" s="92"/>
      <c r="Z221" s="247"/>
      <c r="AA221" s="142">
        <f t="shared" si="174"/>
        <v>0</v>
      </c>
      <c r="AB221" s="246" t="str">
        <f>IF(AA221="","",IF(SUM(AA221-ref!E$38)&gt;0,0,IF(AA221=0, "0:00", SUM(AA221-ref!E$38))))</f>
        <v>0:00</v>
      </c>
      <c r="AC221" s="29"/>
      <c r="AD221" s="106"/>
      <c r="AE221" s="110">
        <f>IF(SUM(Q221-ref!E$11)&lt;0,0,SUM(Q221-ref!E$11))</f>
        <v>0.35694444444444429</v>
      </c>
      <c r="AF221" s="77">
        <f t="shared" si="170"/>
        <v>0</v>
      </c>
      <c r="AG221" s="19"/>
      <c r="AQ221"/>
    </row>
    <row r="222" spans="2:43" x14ac:dyDescent="0.25">
      <c r="C222" s="89"/>
      <c r="D222" s="89"/>
      <c r="W222" s="74"/>
      <c r="X222" s="2"/>
      <c r="Z222"/>
      <c r="AA222" s="2"/>
      <c r="AB222" s="2"/>
      <c r="AC222" s="127"/>
      <c r="AQ222"/>
    </row>
    <row r="223" spans="2:43" x14ac:dyDescent="0.25">
      <c r="C223" s="89"/>
      <c r="D223" s="89"/>
      <c r="X223" s="2"/>
      <c r="Z223"/>
      <c r="AA223" s="2"/>
      <c r="AB223" s="2"/>
      <c r="AC223" s="127"/>
      <c r="AQ223"/>
    </row>
    <row r="224" spans="2:43" ht="15.75" thickBot="1" x14ac:dyDescent="0.3">
      <c r="C224" s="89"/>
      <c r="D224" s="89"/>
      <c r="W224" s="74"/>
      <c r="X224" s="2"/>
      <c r="Z224"/>
      <c r="AA224" s="2"/>
      <c r="AB224" s="2"/>
      <c r="AC224" s="127"/>
      <c r="AQ224"/>
    </row>
    <row r="225" spans="2:43" x14ac:dyDescent="0.25">
      <c r="B225" s="78" t="s">
        <v>1</v>
      </c>
      <c r="C225" s="90" t="s">
        <v>20</v>
      </c>
      <c r="D225" s="88"/>
      <c r="E225" s="154">
        <f>DATE(ref!E$2,B229,B227)</f>
        <v>43984</v>
      </c>
      <c r="F225" s="163" t="s">
        <v>20</v>
      </c>
      <c r="G225" s="155">
        <f t="shared" ref="G225:G231" si="175">IF(AND(J225="",H225=""),"",E225+H225)</f>
        <v>43984.376388888886</v>
      </c>
      <c r="H225" s="29">
        <v>0.37638888888888888</v>
      </c>
      <c r="I225" s="23">
        <f>SUM(V225+AA225+AC225)</f>
        <v>3.0555555555555558E-2</v>
      </c>
      <c r="J225" s="29">
        <v>0.70972222222222225</v>
      </c>
      <c r="K225" s="46">
        <f t="shared" ref="K225:K231" si="176">IF(AND(H225="",J225=""),"",E225+J225+(H225&gt;J225))</f>
        <v>43984.709722222222</v>
      </c>
      <c r="L225" s="21">
        <f>IF(OR(F225="télétravail",F225="férié travaillé",F225="travail"),(J225-H225+IF(H225&gt;J225,1)-I225),INDEX(ref!$E$22:'ref'!$E$37,MATCH(F225,gerald3,0)))</f>
        <v>0.30277777777777781</v>
      </c>
      <c r="M225" s="13">
        <f>IF(SUM(L225-ref!E$8)&lt;0,0,SUM(L225-ref!E$8))</f>
        <v>0</v>
      </c>
      <c r="N225" s="252">
        <f>L225-(hs!D224+hs!F224+hs!H224+hs!J224)</f>
        <v>-3.0555555555555558E-2</v>
      </c>
      <c r="O225" s="8">
        <f>IF(OR(F225="férié travaillé",F225="travail",F225="asa",F225="rtt"),J225-H225+IF(H225&gt;J225,1),INDEX(ref!$E$22:'ref'!$E$37,MATCH(F225,gerald2,0)))</f>
        <v>0.33333333333333337</v>
      </c>
      <c r="P225" s="14">
        <f>IF(SUM(O225-ref!E$4)&lt;0,0,SUM(O225-ref!E$4))</f>
        <v>0</v>
      </c>
      <c r="Q225" s="21">
        <f>L225</f>
        <v>0.30277777777777781</v>
      </c>
      <c r="S225" s="136"/>
      <c r="T225" s="92">
        <v>0.53263888888888888</v>
      </c>
      <c r="U225" s="129">
        <v>0.56319444444444444</v>
      </c>
      <c r="V225" s="142">
        <f t="shared" ref="V225:V231" si="177">U225-T225</f>
        <v>3.0555555555555558E-2</v>
      </c>
      <c r="W225" s="141">
        <f>IF(V225="","",IF(SUM(V225-ref!E$38)&gt;0,0,IF(V225=0, "0:00", SUM(V225-ref!E$38))))</f>
        <v>-6.9444444444444198E-4</v>
      </c>
      <c r="X225" s="136"/>
      <c r="Y225" s="92"/>
      <c r="Z225" s="247"/>
      <c r="AA225" s="142">
        <f>Z225-Y225</f>
        <v>0</v>
      </c>
      <c r="AB225" s="244" t="str">
        <f>IF(AA225="","",IF(SUM(AA225-ref!E$38)&gt;0,0,IF(AA225=0, "0:00", SUM(AA225-ref!E$38))))</f>
        <v>0:00</v>
      </c>
      <c r="AC225" s="29"/>
      <c r="AD225" s="106"/>
      <c r="AE225" s="111">
        <f>SUM(AF225:AF231)</f>
        <v>5</v>
      </c>
      <c r="AF225" s="77">
        <f t="shared" ref="AF225:AF231" si="178">IF(AND(H225&lt;&gt;"",J225&lt;&gt;""),1,0+OR(N(J224)&lt;N(H224),F225="récupération",F225="congé 1 jour",F225="congé 1/2 jour ",F225="congé 5h24",F225="arrêt maladie",F225="arrêt travail",F225="férié ",F225="congé parentale",F225="congé de naissance"))</f>
        <v>1</v>
      </c>
      <c r="AG225" s="19"/>
      <c r="AH225" s="176" t="s">
        <v>71</v>
      </c>
      <c r="AI225" s="54" t="s">
        <v>68</v>
      </c>
      <c r="AJ225" s="177" t="s">
        <v>72</v>
      </c>
      <c r="AK225" s="55" cm="1">
        <f t="array" ref="AK225">IF(ISNUMBER(G226),G226-_xlfn.AGGREGATE(14,6,(K$4:K225&lt;G226)*K$4:K225,1),"")</f>
        <v>0.71388888888759539</v>
      </c>
      <c r="AL225" s="20">
        <f>IF(ISNUMBER(AK225),ABS(IF(SUM(AK225-ref!E$9)&gt;0,0,SUM(AK225-ref!E$9))),"")</f>
        <v>0</v>
      </c>
      <c r="AQ225"/>
    </row>
    <row r="226" spans="2:43" x14ac:dyDescent="0.25">
      <c r="B226" s="79" t="s">
        <v>1</v>
      </c>
      <c r="C226" s="90" t="s">
        <v>20</v>
      </c>
      <c r="D226" s="88"/>
      <c r="E226" s="154">
        <f t="shared" ref="E226:E231" si="179">E225+1</f>
        <v>43985</v>
      </c>
      <c r="F226" s="164" t="s">
        <v>20</v>
      </c>
      <c r="G226" s="155">
        <f t="shared" si="175"/>
        <v>43985.423611111109</v>
      </c>
      <c r="H226" s="29">
        <v>0.4236111111111111</v>
      </c>
      <c r="I226" s="23">
        <f t="shared" ref="I226:I231" si="180">SUM(V226+AA226+AC226)</f>
        <v>3.3333333333333437E-2</v>
      </c>
      <c r="J226" s="29">
        <v>0.72916666666666663</v>
      </c>
      <c r="K226" s="46">
        <f t="shared" si="176"/>
        <v>43985.729166666664</v>
      </c>
      <c r="L226" s="21">
        <f>IF(OR(F226="télétravail",F226="férié travaillé",F226="travail"),(J226-H226+IF(H226&gt;J226,1)-I226),INDEX(ref!$E$22:'ref'!$E$37,MATCH(F226,gerald3,0)))</f>
        <v>0.27222222222222209</v>
      </c>
      <c r="M226" s="13">
        <f>IF(SUM(L226-ref!E$8)&lt;0,0,SUM(L226-ref!E$8))</f>
        <v>0</v>
      </c>
      <c r="N226" s="252">
        <f>L226-(hs!D225+hs!F225+hs!H225+hs!J225)</f>
        <v>-3.3333333333333437E-2</v>
      </c>
      <c r="O226" s="8">
        <f>IF(OR(F226="férié travaillé",F226="travail",F226="asa",F226="rtt"),J226-H226+IF(H226&gt;J226,1),INDEX(ref!$E$22:'ref'!$E$37,MATCH(F226,gerald2,0)))</f>
        <v>0.30555555555555552</v>
      </c>
      <c r="P226" s="14">
        <f>IF(SUM(O226-ref!E$4)&lt;0,0,SUM(O226-ref!E$4))</f>
        <v>0</v>
      </c>
      <c r="Q226" s="24">
        <f t="shared" ref="Q226:Q231" si="181">Q225+L226</f>
        <v>0.57499999999999996</v>
      </c>
      <c r="S226" s="137"/>
      <c r="T226" s="92">
        <v>0.54513888888888884</v>
      </c>
      <c r="U226" s="129">
        <v>0.57847222222222228</v>
      </c>
      <c r="V226" s="142">
        <f t="shared" si="177"/>
        <v>3.3333333333333437E-2</v>
      </c>
      <c r="W226" s="141">
        <f>IF(V226="","",IF(SUM(V226-ref!E$38)&gt;0,0,IF(V226=0, "0:00", SUM(V226-ref!E$38))))</f>
        <v>0</v>
      </c>
      <c r="X226" s="137"/>
      <c r="Y226" s="92"/>
      <c r="Z226" s="247"/>
      <c r="AA226" s="142">
        <f t="shared" ref="AA226:AA231" si="182">Z226-Y226</f>
        <v>0</v>
      </c>
      <c r="AB226" s="245" t="str">
        <f>IF(AA226="","",IF(SUM(AA226-ref!E$38)&gt;0,0,IF(AA226=0, "0:00", SUM(AA226-ref!E$38))))</f>
        <v>0:00</v>
      </c>
      <c r="AC226" s="29"/>
      <c r="AD226" s="106"/>
      <c r="AE226" s="112">
        <f>IF(SUM(AE225-ref!E$7)&lt;0,0,SUM(AE225-ref!E$7))</f>
        <v>0</v>
      </c>
      <c r="AF226" s="77">
        <f t="shared" si="178"/>
        <v>1</v>
      </c>
      <c r="AG226" s="19"/>
      <c r="AH226" s="178" t="s">
        <v>72</v>
      </c>
      <c r="AI226" s="54" t="s">
        <v>68</v>
      </c>
      <c r="AJ226" s="177" t="s">
        <v>73</v>
      </c>
      <c r="AK226" s="55" cm="1">
        <f t="array" ref="AK226">IF(ISNUMBER(G227),G227-_xlfn.AGGREGATE(14,6,(K$4:K226&lt;G227)*K$4:K226,1),"")</f>
        <v>0.69097222222626442</v>
      </c>
      <c r="AL226" s="20">
        <f>IF(ISNUMBER(AK226),ABS(IF(SUM(AK226-ref!E$9)&gt;0,0,SUM(AK226-ref!E$9))),"")</f>
        <v>0</v>
      </c>
      <c r="AQ226"/>
    </row>
    <row r="227" spans="2:43" x14ac:dyDescent="0.25">
      <c r="B227" s="80">
        <v>3</v>
      </c>
      <c r="C227" s="90" t="s">
        <v>20</v>
      </c>
      <c r="D227" s="88"/>
      <c r="E227" s="154">
        <f t="shared" si="179"/>
        <v>43986</v>
      </c>
      <c r="F227" s="164" t="s">
        <v>20</v>
      </c>
      <c r="G227" s="155">
        <f t="shared" si="175"/>
        <v>43986.420138888891</v>
      </c>
      <c r="H227" s="29">
        <v>0.4201388888888889</v>
      </c>
      <c r="I227" s="23">
        <f t="shared" si="180"/>
        <v>3.7499999999999978E-2</v>
      </c>
      <c r="J227" s="29">
        <v>0.7368055555555556</v>
      </c>
      <c r="K227" s="46">
        <f t="shared" si="176"/>
        <v>43986.736805555556</v>
      </c>
      <c r="L227" s="21">
        <f>IF(OR(F227="télétravail",F227="férié travaillé",F227="travail"),(J227-H227+IF(H227&gt;J227,1)-I227),INDEX(ref!$E$22:'ref'!$E$37,MATCH(F227,gerald3,0)))</f>
        <v>0.27916666666666673</v>
      </c>
      <c r="M227" s="13">
        <f>IF(SUM(L227-ref!E$8)&lt;0,0,SUM(L227-ref!E$8))</f>
        <v>0</v>
      </c>
      <c r="N227" s="252">
        <f>L227-(hs!D226+hs!F226+hs!H226+hs!J226)</f>
        <v>-3.7499999999999978E-2</v>
      </c>
      <c r="O227" s="8">
        <f>IF(OR(F227="férié travaillé",F227="travail",F227="asa",F227="rtt"),J227-H227+IF(H227&gt;J227,1),INDEX(ref!$E$22:'ref'!$E$37,MATCH(F227,gerald2,0)))</f>
        <v>0.31666666666666671</v>
      </c>
      <c r="P227" s="14">
        <f>IF(SUM(O227-ref!E$4)&lt;0,0,SUM(O227-ref!E$4))</f>
        <v>0</v>
      </c>
      <c r="Q227" s="24">
        <f t="shared" si="181"/>
        <v>0.85416666666666674</v>
      </c>
      <c r="S227" s="137"/>
      <c r="T227" s="92">
        <v>0.52500000000000002</v>
      </c>
      <c r="U227" s="129">
        <v>0.5625</v>
      </c>
      <c r="V227" s="142">
        <f t="shared" si="177"/>
        <v>3.7499999999999978E-2</v>
      </c>
      <c r="W227" s="141">
        <f>IF(V227="","",IF(SUM(V227-ref!E$38)&gt;0,0,IF(V227=0, "0:00", SUM(V227-ref!E$38))))</f>
        <v>0</v>
      </c>
      <c r="X227" s="137"/>
      <c r="Y227" s="92"/>
      <c r="Z227" s="247"/>
      <c r="AA227" s="142">
        <f t="shared" si="182"/>
        <v>0</v>
      </c>
      <c r="AB227" s="245" t="str">
        <f>IF(AA227="","",IF(SUM(AA227-ref!E$38)&gt;0,0,IF(AA227=0, "0:00", SUM(AA227-ref!E$38))))</f>
        <v>0:00</v>
      </c>
      <c r="AC227" s="29"/>
      <c r="AD227" s="106"/>
      <c r="AE227" s="113" t="s">
        <v>29</v>
      </c>
      <c r="AF227" s="77">
        <f t="shared" si="178"/>
        <v>1</v>
      </c>
      <c r="AG227" s="19"/>
      <c r="AH227" s="178" t="s">
        <v>73</v>
      </c>
      <c r="AI227" s="54" t="s">
        <v>68</v>
      </c>
      <c r="AJ227" s="177" t="s">
        <v>74</v>
      </c>
      <c r="AK227" s="55" cm="1">
        <f t="array" ref="AK227">IF(ISNUMBER(G228),G228-_xlfn.AGGREGATE(14,6,(K$4:K227&lt;G228)*K$4:K227,1),"")</f>
        <v>0.63888888889050577</v>
      </c>
      <c r="AL227" s="20">
        <f>IF(ISNUMBER(AK227),ABS(IF(SUM(AK227-ref!E$9)&gt;0,0,SUM(AK227-ref!E$9))),"")</f>
        <v>0</v>
      </c>
      <c r="AQ227"/>
    </row>
    <row r="228" spans="2:43" x14ac:dyDescent="0.25">
      <c r="B228" s="79" t="s">
        <v>58</v>
      </c>
      <c r="C228" s="90" t="s">
        <v>20</v>
      </c>
      <c r="D228" s="88"/>
      <c r="E228" s="154">
        <f t="shared" si="179"/>
        <v>43987</v>
      </c>
      <c r="F228" s="164" t="s">
        <v>20</v>
      </c>
      <c r="G228" s="155">
        <f t="shared" si="175"/>
        <v>43987.375694444447</v>
      </c>
      <c r="H228" s="29">
        <v>0.37569444444444444</v>
      </c>
      <c r="I228" s="23">
        <f t="shared" si="180"/>
        <v>3.2638888888888884E-2</v>
      </c>
      <c r="J228" s="29">
        <v>0.76249999999999996</v>
      </c>
      <c r="K228" s="46">
        <f t="shared" si="176"/>
        <v>43987.762499999997</v>
      </c>
      <c r="L228" s="21">
        <f>IF(OR(F228="télétravail",F228="férié travaillé",F228="travail"),(J228-H228+IF(H228&gt;J228,1)-I228),INDEX(ref!$E$22:'ref'!$E$37,MATCH(F228,gerald3,0)))</f>
        <v>0.35416666666666663</v>
      </c>
      <c r="M228" s="13">
        <f>IF(SUM(L228-ref!E$8)&lt;0,0,SUM(L228-ref!E$8))</f>
        <v>0</v>
      </c>
      <c r="N228" s="252">
        <f>L228-(hs!D227+hs!F227+hs!H227+hs!J227)</f>
        <v>-3.2638888888888884E-2</v>
      </c>
      <c r="O228" s="8">
        <f>IF(OR(F228="férié travaillé",F228="travail",F228="asa",F228="rtt"),J228-H228+IF(H228&gt;J228,1),INDEX(ref!$E$22:'ref'!$E$37,MATCH(F228,gerald2,0)))</f>
        <v>0.38680555555555551</v>
      </c>
      <c r="P228" s="14">
        <f>IF(SUM(O228-ref!E$4)&lt;0,0,SUM(O228-ref!E$4))</f>
        <v>0</v>
      </c>
      <c r="Q228" s="24">
        <f t="shared" si="181"/>
        <v>1.2083333333333335</v>
      </c>
      <c r="S228" s="137"/>
      <c r="T228" s="92">
        <v>0.53194444444444444</v>
      </c>
      <c r="U228" s="129">
        <v>0.56458333333333333</v>
      </c>
      <c r="V228" s="142">
        <f t="shared" si="177"/>
        <v>3.2638888888888884E-2</v>
      </c>
      <c r="W228" s="141">
        <f>IF(V228="","",IF(SUM(V228-ref!E$38)&gt;0,0,IF(V228=0, "0:00", SUM(V228-ref!E$38))))</f>
        <v>0</v>
      </c>
      <c r="X228" s="137"/>
      <c r="Y228" s="92"/>
      <c r="Z228" s="247"/>
      <c r="AA228" s="142">
        <f t="shared" si="182"/>
        <v>0</v>
      </c>
      <c r="AB228" s="245" t="str">
        <f>IF(AA228="","",IF(SUM(AA228-ref!E$38)&gt;0,0,IF(AA228=0, "0:00", SUM(AA228-ref!E$38))))</f>
        <v>0:00</v>
      </c>
      <c r="AC228" s="29"/>
      <c r="AD228" s="106"/>
      <c r="AE228" s="114">
        <f>Q231</f>
        <v>1.4965277777777781</v>
      </c>
      <c r="AF228" s="77">
        <f t="shared" si="178"/>
        <v>1</v>
      </c>
      <c r="AG228" s="19"/>
      <c r="AH228" s="178" t="s">
        <v>74</v>
      </c>
      <c r="AI228" s="54" t="s">
        <v>68</v>
      </c>
      <c r="AJ228" s="177" t="s">
        <v>75</v>
      </c>
      <c r="AK228" s="55" cm="1">
        <f t="array" ref="AK228">IF(ISNUMBER(G229),G229-_xlfn.AGGREGATE(14,6,(K$4:K228&lt;G229)*K$4:K228,1),"")</f>
        <v>0.61180555555620231</v>
      </c>
      <c r="AL228" s="20">
        <f>IF(ISNUMBER(AK228),ABS(IF(SUM(AK228-ref!E$9)&gt;0,0,SUM(AK228-ref!E$9))),"")</f>
        <v>0</v>
      </c>
      <c r="AQ228"/>
    </row>
    <row r="229" spans="2:43" x14ac:dyDescent="0.25">
      <c r="B229" s="81">
        <v>6</v>
      </c>
      <c r="C229" s="90" t="s">
        <v>20</v>
      </c>
      <c r="D229" s="88"/>
      <c r="E229" s="154">
        <f t="shared" si="179"/>
        <v>43988</v>
      </c>
      <c r="F229" s="164" t="s">
        <v>20</v>
      </c>
      <c r="G229" s="155">
        <f t="shared" si="175"/>
        <v>43988.374305555553</v>
      </c>
      <c r="H229" s="29">
        <v>0.37430555555555556</v>
      </c>
      <c r="I229" s="23">
        <f t="shared" si="180"/>
        <v>4.166666666666663E-2</v>
      </c>
      <c r="J229" s="29">
        <v>0.70416666666666672</v>
      </c>
      <c r="K229" s="46">
        <f t="shared" si="176"/>
        <v>43988.70416666667</v>
      </c>
      <c r="L229" s="21">
        <f>IF(OR(F229="télétravail",F229="férié travaillé",F229="travail"),(J229-H229+IF(H229&gt;J229,1)-I229),INDEX(ref!$E$22:'ref'!$E$37,MATCH(F229,gerald3,0)))</f>
        <v>0.28819444444444453</v>
      </c>
      <c r="M229" s="13">
        <f>IF(SUM(L229-ref!E$8)&lt;0,0,SUM(L229-ref!E$8))</f>
        <v>0</v>
      </c>
      <c r="N229" s="252">
        <f>L229-(hs!D228+hs!F228+hs!H228+hs!J228)</f>
        <v>-4.166666666666663E-2</v>
      </c>
      <c r="O229" s="8">
        <f>IF(OR(F229="férié travaillé",F229="travail",F229="asa",F229="rtt"),J229-H229+IF(H229&gt;J229,1),INDEX(ref!$E$22:'ref'!$E$37,MATCH(F229,gerald2,0)))</f>
        <v>0.32986111111111116</v>
      </c>
      <c r="P229" s="14">
        <f>IF(SUM(O229-ref!E$4)&lt;0,0,SUM(O229-ref!E$4))</f>
        <v>0</v>
      </c>
      <c r="Q229" s="168">
        <f t="shared" si="181"/>
        <v>1.4965277777777781</v>
      </c>
      <c r="S229" s="137"/>
      <c r="T229" s="92">
        <v>0.52083333333333337</v>
      </c>
      <c r="U229" s="129">
        <v>0.5625</v>
      </c>
      <c r="V229" s="142">
        <f t="shared" si="177"/>
        <v>4.166666666666663E-2</v>
      </c>
      <c r="W229" s="141">
        <f>IF(V229="","",IF(SUM(V229-ref!E$38)&gt;0,0,IF(V229=0, "0:00", SUM(V229-ref!E$38))))</f>
        <v>0</v>
      </c>
      <c r="X229" s="137"/>
      <c r="Y229" s="92"/>
      <c r="Z229" s="247"/>
      <c r="AA229" s="142">
        <f t="shared" si="182"/>
        <v>0</v>
      </c>
      <c r="AB229" s="245" t="str">
        <f>IF(AA229="","",IF(SUM(AA229-ref!E$38)&gt;0,0,IF(AA229=0, "0:00", SUM(AA229-ref!E$38))))</f>
        <v>0:00</v>
      </c>
      <c r="AC229" s="29"/>
      <c r="AD229" s="106"/>
      <c r="AE229" s="117" t="s">
        <v>47</v>
      </c>
      <c r="AF229" s="77">
        <f t="shared" si="178"/>
        <v>1</v>
      </c>
      <c r="AG229" s="19"/>
      <c r="AH229" s="178" t="s">
        <v>75</v>
      </c>
      <c r="AI229" s="54" t="s">
        <v>68</v>
      </c>
      <c r="AJ229" s="177" t="s">
        <v>76</v>
      </c>
      <c r="AK229" s="55" t="str" cm="1">
        <f t="array" ref="AK229">IF(ISNUMBER(G230),G230-_xlfn.AGGREGATE(14,6,(K$4:K229&lt;G230)*K$4:K229,1),"")</f>
        <v/>
      </c>
      <c r="AL229" s="20" t="str">
        <f>IF(ISNUMBER(AK229),ABS(IF(SUM(AK229-ref!E$9)&gt;0,0,SUM(AK229-ref!E$9))),"")</f>
        <v/>
      </c>
      <c r="AQ229"/>
    </row>
    <row r="230" spans="2:43" ht="15.75" thickBot="1" x14ac:dyDescent="0.3">
      <c r="B230"/>
      <c r="C230" s="89"/>
      <c r="D230" s="89"/>
      <c r="E230" s="154">
        <f t="shared" si="179"/>
        <v>43989</v>
      </c>
      <c r="F230" s="164" t="s">
        <v>19</v>
      </c>
      <c r="G230" s="155" t="str">
        <f t="shared" si="175"/>
        <v/>
      </c>
      <c r="H230" s="29"/>
      <c r="I230" s="23">
        <f t="shared" si="180"/>
        <v>0</v>
      </c>
      <c r="J230" s="29"/>
      <c r="K230" s="46" t="str">
        <f t="shared" si="176"/>
        <v/>
      </c>
      <c r="L230" s="21">
        <f>IF(OR(F230="télétravail",F230="férié travaillé",F230="travail"),(J230-H230+IF(H230&gt;J230,1)-I230),INDEX(ref!$E$22:'ref'!$E$37,MATCH(F230,gerald3,0)))</f>
        <v>0</v>
      </c>
      <c r="M230" s="13">
        <f>IF(SUM(L230-ref!E$8)&lt;0,0,SUM(L230-ref!E$8))</f>
        <v>0</v>
      </c>
      <c r="N230" s="252">
        <f>L230-(hs!D229+hs!F229+hs!H229+hs!J229)</f>
        <v>0</v>
      </c>
      <c r="O230" s="8">
        <f>IF(OR(F230="férié travaillé",F230="travail",F230="asa",F230="rtt"),J230-H230+IF(H230&gt;J230,1),INDEX(ref!$E$22:'ref'!$E$37,MATCH(F230,gerald2,0)))</f>
        <v>0</v>
      </c>
      <c r="P230" s="14">
        <f>IF(SUM(O230-ref!E$4)&lt;0,0,SUM(O230-ref!E$4))</f>
        <v>0</v>
      </c>
      <c r="Q230" s="97">
        <f t="shared" si="181"/>
        <v>1.4965277777777781</v>
      </c>
      <c r="S230" s="137"/>
      <c r="T230" s="92"/>
      <c r="U230" s="129"/>
      <c r="V230" s="142">
        <f t="shared" si="177"/>
        <v>0</v>
      </c>
      <c r="W230" s="141" t="str">
        <f>IF(V230="","",IF(SUM(V230-ref!E$38)&gt;0,0,IF(V230=0, "0:00", SUM(V230-ref!E$38))))</f>
        <v>0:00</v>
      </c>
      <c r="X230" s="137"/>
      <c r="Y230" s="92"/>
      <c r="Z230" s="247"/>
      <c r="AA230" s="142">
        <f t="shared" si="182"/>
        <v>0</v>
      </c>
      <c r="AB230" s="245" t="str">
        <f>IF(AA230="","",IF(SUM(AA230-ref!E$38)&gt;0,0,IF(AA230=0, "0:00", SUM(AA230-ref!E$38))))</f>
        <v>0:00</v>
      </c>
      <c r="AC230" s="29"/>
      <c r="AD230" s="106"/>
      <c r="AE230" s="118">
        <f>ref!E$11</f>
        <v>2</v>
      </c>
      <c r="AF230" s="77">
        <f t="shared" si="178"/>
        <v>0</v>
      </c>
      <c r="AG230" s="19"/>
      <c r="AH230" s="178" t="s">
        <v>76</v>
      </c>
      <c r="AI230" s="54" t="s">
        <v>68</v>
      </c>
      <c r="AJ230" s="177" t="s">
        <v>77</v>
      </c>
      <c r="AK230" s="55" t="str" cm="1">
        <f t="array" ref="AK230">IF(ISNUMBER(G231),G231-_xlfn.AGGREGATE(14,6,(K$4:K230&lt;G231)*K$4:K230,1),"")</f>
        <v/>
      </c>
      <c r="AL230" s="20" t="str">
        <f>IF(ISNUMBER(AK230),ABS(IF(SUM(AK230-ref!E$9)&gt;0,0,SUM(AK230-ref!E$9))),"")</f>
        <v/>
      </c>
      <c r="AQ230"/>
    </row>
    <row r="231" spans="2:43" ht="15.75" thickBot="1" x14ac:dyDescent="0.3">
      <c r="B231"/>
      <c r="C231" s="89"/>
      <c r="D231" s="89"/>
      <c r="E231" s="154">
        <f t="shared" si="179"/>
        <v>43990</v>
      </c>
      <c r="F231" s="165" t="s">
        <v>19</v>
      </c>
      <c r="G231" s="155" t="str">
        <f t="shared" si="175"/>
        <v/>
      </c>
      <c r="H231" s="29"/>
      <c r="I231" s="23">
        <f t="shared" si="180"/>
        <v>0</v>
      </c>
      <c r="J231" s="29"/>
      <c r="K231" s="46" t="str">
        <f t="shared" si="176"/>
        <v/>
      </c>
      <c r="L231" s="21">
        <f>IF(OR(F231="télétravail",F231="férié travaillé",F231="travail"),(J231-H231+IF(H231&gt;J231,1)-I231),INDEX(ref!$E$22:'ref'!$E$37,MATCH(F231,gerald3,0)))</f>
        <v>0</v>
      </c>
      <c r="M231" s="13">
        <f>IF(SUM(L231-ref!E$8)&lt;0,0,SUM(L231-ref!E$8))</f>
        <v>0</v>
      </c>
      <c r="N231" s="252">
        <f>L231-(hs!D230+hs!F230+hs!H230+hs!J230)</f>
        <v>0</v>
      </c>
      <c r="O231" s="8">
        <f>IF(OR(F231="férié travaillé",F231="travail",F231="asa",F231="rtt"),J231-H231+IF(H231&gt;J231,1),INDEX(ref!$E$22:'ref'!$E$37,MATCH(F231,gerald2,0)))</f>
        <v>0</v>
      </c>
      <c r="P231" s="14">
        <f>IF(SUM(O231-ref!E$4)&lt;0,0,SUM(O231-ref!E$4))</f>
        <v>0</v>
      </c>
      <c r="Q231" s="94">
        <f t="shared" si="181"/>
        <v>1.4965277777777781</v>
      </c>
      <c r="S231" s="138"/>
      <c r="T231" s="92"/>
      <c r="U231" s="129"/>
      <c r="V231" s="142">
        <f t="shared" si="177"/>
        <v>0</v>
      </c>
      <c r="W231" s="141" t="str">
        <f>IF(V231="","",IF(SUM(V231-ref!E$38)&gt;0,0,IF(V231=0, "0:00", SUM(V231-ref!E$38))))</f>
        <v>0:00</v>
      </c>
      <c r="X231" s="138"/>
      <c r="Y231" s="92"/>
      <c r="Z231" s="247"/>
      <c r="AA231" s="142">
        <f t="shared" si="182"/>
        <v>0</v>
      </c>
      <c r="AB231" s="246" t="str">
        <f>IF(AA231="","",IF(SUM(AA231-ref!E$38)&gt;0,0,IF(AA231=0, "0:00", SUM(AA231-ref!E$38))))</f>
        <v>0:00</v>
      </c>
      <c r="AC231" s="29"/>
      <c r="AD231" s="106"/>
      <c r="AE231" s="110">
        <f>IF(SUM(Q231-ref!E$11)&lt;0,0,SUM(Q231-ref!E$11))</f>
        <v>0</v>
      </c>
      <c r="AF231" s="77">
        <f t="shared" si="178"/>
        <v>0</v>
      </c>
      <c r="AG231" s="19"/>
      <c r="AQ231"/>
    </row>
    <row r="232" spans="2:43" x14ac:dyDescent="0.25">
      <c r="C232" s="89"/>
      <c r="D232" s="89"/>
      <c r="W232" s="74"/>
      <c r="X232" s="2"/>
      <c r="Z232"/>
      <c r="AA232" s="2"/>
      <c r="AB232" s="2"/>
      <c r="AC232" s="127"/>
      <c r="AQ232"/>
    </row>
    <row r="233" spans="2:43" x14ac:dyDescent="0.25">
      <c r="C233" s="89"/>
      <c r="D233" s="89"/>
      <c r="X233" s="2"/>
      <c r="Z233"/>
      <c r="AA233" s="2"/>
      <c r="AB233" s="2"/>
      <c r="AC233" s="127"/>
      <c r="AQ233"/>
    </row>
    <row r="234" spans="2:43" ht="15.75" thickBot="1" x14ac:dyDescent="0.3">
      <c r="C234" s="89"/>
      <c r="D234" s="89"/>
      <c r="W234" s="74"/>
      <c r="X234" s="2"/>
      <c r="Z234"/>
      <c r="AA234" s="2"/>
      <c r="AB234" s="2"/>
      <c r="AC234" s="127"/>
      <c r="AQ234"/>
    </row>
    <row r="235" spans="2:43" x14ac:dyDescent="0.25">
      <c r="B235" s="78" t="s">
        <v>1</v>
      </c>
      <c r="C235" s="90" t="s">
        <v>20</v>
      </c>
      <c r="D235" s="88"/>
      <c r="E235" s="154">
        <f>DATE(ref!E$2,B239,B237)</f>
        <v>43991</v>
      </c>
      <c r="F235" s="163" t="s">
        <v>20</v>
      </c>
      <c r="G235" s="155">
        <f t="shared" ref="G235:G241" si="183">IF(AND(J235="",H235=""),"",E235+H235)</f>
        <v>43991.375</v>
      </c>
      <c r="H235" s="29">
        <v>0.375</v>
      </c>
      <c r="I235" s="23">
        <f>SUM(V235+AA235+AC235)</f>
        <v>3.472222222222221E-2</v>
      </c>
      <c r="J235" s="29">
        <v>0.70833333333333337</v>
      </c>
      <c r="K235" s="46">
        <f t="shared" ref="K235:K241" si="184">IF(AND(H235="",J235=""),"",E235+J235+(H235&gt;J235))</f>
        <v>43991.708333333336</v>
      </c>
      <c r="L235" s="21">
        <f>IF(OR(F235="télétravail",F235="férié travaillé",F235="travail"),(J235-H235+IF(H235&gt;J235,1)-I235),INDEX(ref!$E$22:'ref'!$E$37,MATCH(F235,gerald3,0)))</f>
        <v>0.29861111111111116</v>
      </c>
      <c r="M235" s="13">
        <f>IF(SUM(L235-ref!E$8)&lt;0,0,SUM(L235-ref!E$8))</f>
        <v>0</v>
      </c>
      <c r="N235" s="252">
        <f>L235-(hs!D234+hs!F234+hs!H234+hs!J234)</f>
        <v>-3.472222222222221E-2</v>
      </c>
      <c r="O235" s="8">
        <f>IF(OR(F235="férié travaillé",F235="travail",F235="asa",F235="rtt"),J235-H235+IF(H235&gt;J235,1),INDEX(ref!$E$22:'ref'!$E$37,MATCH(F235,gerald2,0)))</f>
        <v>0.33333333333333337</v>
      </c>
      <c r="P235" s="14">
        <f>IF(SUM(O235-ref!E$4)&lt;0,0,SUM(O235-ref!E$4))</f>
        <v>0</v>
      </c>
      <c r="Q235" s="170">
        <f>L235</f>
        <v>0.29861111111111116</v>
      </c>
      <c r="S235" s="136"/>
      <c r="T235" s="92">
        <v>0.52777777777777779</v>
      </c>
      <c r="U235" s="129">
        <v>0.5625</v>
      </c>
      <c r="V235" s="142">
        <f t="shared" ref="V235:V241" si="185">U235-T235</f>
        <v>3.472222222222221E-2</v>
      </c>
      <c r="W235" s="141">
        <f>IF(V235="","",IF(SUM(V235-ref!E$38)&gt;0,0,IF(V235=0, "0:00", SUM(V235-ref!E$38))))</f>
        <v>0</v>
      </c>
      <c r="X235" s="136"/>
      <c r="Y235" s="92"/>
      <c r="Z235" s="247"/>
      <c r="AA235" s="142">
        <f>Z235-Y235</f>
        <v>0</v>
      </c>
      <c r="AB235" s="244" t="str">
        <f>IF(AA235="","",IF(SUM(AA235-ref!E$38)&gt;0,0,IF(AA235=0, "0:00", SUM(AA235-ref!E$38))))</f>
        <v>0:00</v>
      </c>
      <c r="AC235" s="29"/>
      <c r="AD235" s="106"/>
      <c r="AE235" s="111">
        <f>SUM(AF235:AF241)</f>
        <v>7</v>
      </c>
      <c r="AF235" s="77">
        <f t="shared" ref="AF235:AF241" si="186">IF(AND(H235&lt;&gt;"",J235&lt;&gt;""),1,0+OR(N(J234)&lt;N(H234),F235="récupération",F235="congé 1 jour",F235="congé 1/2 jour ",F235="congé 5h24",F235="arrêt maladie",F235="arrêt travail",F235="férié ",F235="congé parentale",F235="congé de naissance"))</f>
        <v>1</v>
      </c>
      <c r="AG235" s="19"/>
      <c r="AH235" s="176" t="s">
        <v>71</v>
      </c>
      <c r="AI235" s="54" t="s">
        <v>68</v>
      </c>
      <c r="AJ235" s="177" t="s">
        <v>72</v>
      </c>
      <c r="AK235" s="55" cm="1">
        <f t="array" ref="AK235">IF(ISNUMBER(G236),G236-_xlfn.AGGREGATE(14,6,(K$4:K235&lt;G236)*K$4:K235,1),"")</f>
        <v>0.66736111111094942</v>
      </c>
      <c r="AL235" s="20">
        <f>IF(ISNUMBER(AK235),ABS(IF(SUM(AK235-ref!E$9)&gt;0,0,SUM(AK235-ref!E$9))),"")</f>
        <v>0</v>
      </c>
      <c r="AQ235"/>
    </row>
    <row r="236" spans="2:43" x14ac:dyDescent="0.25">
      <c r="B236" s="79" t="s">
        <v>1</v>
      </c>
      <c r="C236" s="90" t="s">
        <v>20</v>
      </c>
      <c r="D236" s="88"/>
      <c r="E236" s="154">
        <f t="shared" ref="E236:E241" si="187">E235+1</f>
        <v>43992</v>
      </c>
      <c r="F236" s="164" t="s">
        <v>20</v>
      </c>
      <c r="G236" s="155">
        <f t="shared" si="183"/>
        <v>43992.375694444447</v>
      </c>
      <c r="H236" s="29">
        <v>0.3756944444444445</v>
      </c>
      <c r="I236" s="23">
        <f t="shared" ref="I236:I241" si="188">SUM(V236+AA236+AC236)</f>
        <v>3.125E-2</v>
      </c>
      <c r="J236" s="29">
        <v>0.95833333333333337</v>
      </c>
      <c r="K236" s="46">
        <f t="shared" si="184"/>
        <v>43992.958333333336</v>
      </c>
      <c r="L236" s="21">
        <f>IF(OR(F236="télétravail",F236="férié travaillé",F236="travail"),(J236-H236+IF(H236&gt;J236,1)-I236),INDEX(ref!$E$22:'ref'!$E$37,MATCH(F236,gerald3,0)))</f>
        <v>0.55138888888888893</v>
      </c>
      <c r="M236" s="13">
        <f>IF(SUM(L236-ref!E$8)&lt;0,0,SUM(L236-ref!E$8))</f>
        <v>0.13472222222222224</v>
      </c>
      <c r="N236" s="252">
        <f>L236-(hs!D235+hs!F235+hs!H235+hs!J235)</f>
        <v>-0.21875</v>
      </c>
      <c r="O236" s="8">
        <f>IF(OR(F236="férié travaillé",F236="travail",F236="asa",F236="rtt"),J236-H236+IF(H236&gt;J236,1),INDEX(ref!$E$22:'ref'!$E$37,MATCH(F236,gerald2,0)))</f>
        <v>0.58263888888888893</v>
      </c>
      <c r="P236" s="14">
        <f>IF(SUM(O236-ref!E$4)&lt;0,0,SUM(O236-ref!E$4))</f>
        <v>8.2638888888888928E-2</v>
      </c>
      <c r="Q236" s="24">
        <f t="shared" ref="Q236:Q241" si="189">Q235+L236</f>
        <v>0.85000000000000009</v>
      </c>
      <c r="S236" s="137"/>
      <c r="T236" s="92">
        <v>0.54166666666666663</v>
      </c>
      <c r="U236" s="129">
        <v>0.57291666666666663</v>
      </c>
      <c r="V236" s="142">
        <f t="shared" si="185"/>
        <v>3.125E-2</v>
      </c>
      <c r="W236" s="141">
        <f>IF(V236="","",IF(SUM(V236-ref!E$38)&gt;0,0,IF(V236=0, "0:00", SUM(V236-ref!E$38))))</f>
        <v>0</v>
      </c>
      <c r="X236" s="137"/>
      <c r="Y236" s="92"/>
      <c r="Z236" s="247"/>
      <c r="AA236" s="142">
        <f t="shared" ref="AA236:AA241" si="190">Z236-Y236</f>
        <v>0</v>
      </c>
      <c r="AB236" s="245" t="str">
        <f>IF(AA236="","",IF(SUM(AA236-ref!E$38)&gt;0,0,IF(AA236=0, "0:00", SUM(AA236-ref!E$38))))</f>
        <v>0:00</v>
      </c>
      <c r="AC236" s="29"/>
      <c r="AD236" s="106"/>
      <c r="AE236" s="112">
        <f>IF(SUM(AE235-ref!E$7)&lt;0,0,SUM(AE235-ref!E$7))</f>
        <v>1</v>
      </c>
      <c r="AF236" s="77">
        <f t="shared" si="186"/>
        <v>1</v>
      </c>
      <c r="AG236" s="19"/>
      <c r="AH236" s="178" t="s">
        <v>72</v>
      </c>
      <c r="AI236" s="54" t="s">
        <v>68</v>
      </c>
      <c r="AJ236" s="177" t="s">
        <v>73</v>
      </c>
      <c r="AK236" s="55" cm="1">
        <f t="array" ref="AK236">IF(ISNUMBER(G237),G237-_xlfn.AGGREGATE(14,6,(K$4:K236&lt;G237)*K$4:K236,1),"")</f>
        <v>0.58333333332848269</v>
      </c>
      <c r="AL236" s="20">
        <f>IF(ISNUMBER(AK236),ABS(IF(SUM(AK236-ref!E$9)&gt;0,0,SUM(AK236-ref!E$9))),"")</f>
        <v>0</v>
      </c>
      <c r="AQ236"/>
    </row>
    <row r="237" spans="2:43" x14ac:dyDescent="0.25">
      <c r="B237" s="80">
        <v>10</v>
      </c>
      <c r="C237" s="90" t="s">
        <v>20</v>
      </c>
      <c r="D237" s="88"/>
      <c r="E237" s="154">
        <f t="shared" si="187"/>
        <v>43993</v>
      </c>
      <c r="F237" s="164" t="s">
        <v>20</v>
      </c>
      <c r="G237" s="155">
        <f t="shared" si="183"/>
        <v>43993.541666666664</v>
      </c>
      <c r="H237" s="29">
        <v>0.54166666666666663</v>
      </c>
      <c r="I237" s="23">
        <f t="shared" si="188"/>
        <v>0</v>
      </c>
      <c r="J237" s="29">
        <v>0.91666666666666663</v>
      </c>
      <c r="K237" s="46">
        <f t="shared" si="184"/>
        <v>43993.916666666664</v>
      </c>
      <c r="L237" s="21">
        <f>IF(OR(F237="télétravail",F237="férié travaillé",F237="travail"),(J237-H237+IF(H237&gt;J237,1)-I237),INDEX(ref!$E$22:'ref'!$E$37,MATCH(F237,gerald3,0)))</f>
        <v>0.375</v>
      </c>
      <c r="M237" s="13">
        <f>IF(SUM(L237-ref!E$8)&lt;0,0,SUM(L237-ref!E$8))</f>
        <v>0</v>
      </c>
      <c r="N237" s="252">
        <f>L237-(hs!D236+hs!F236+hs!H236+hs!J236)</f>
        <v>-0.14583333333333326</v>
      </c>
      <c r="O237" s="8">
        <f>IF(OR(F237="férié travaillé",F237="travail",F237="asa",F237="rtt"),J237-H237+IF(H237&gt;J237,1),INDEX(ref!$E$22:'ref'!$E$37,MATCH(F237,gerald2,0)))</f>
        <v>0.375</v>
      </c>
      <c r="P237" s="14">
        <f>IF(SUM(O237-ref!E$4)&lt;0,0,SUM(O237-ref!E$4))</f>
        <v>0</v>
      </c>
      <c r="Q237" s="24">
        <f t="shared" si="189"/>
        <v>1.2250000000000001</v>
      </c>
      <c r="S237" s="137"/>
      <c r="T237" s="92"/>
      <c r="U237" s="129"/>
      <c r="V237" s="142">
        <f t="shared" si="185"/>
        <v>0</v>
      </c>
      <c r="W237" s="141" t="str">
        <f>IF(V237="","",IF(SUM(V237-ref!E$38)&gt;0,0,IF(V237=0, "0:00", SUM(V237-ref!E$38))))</f>
        <v>0:00</v>
      </c>
      <c r="X237" s="137"/>
      <c r="Y237" s="92"/>
      <c r="Z237" s="247"/>
      <c r="AA237" s="142">
        <f t="shared" si="190"/>
        <v>0</v>
      </c>
      <c r="AB237" s="245" t="str">
        <f>IF(AA237="","",IF(SUM(AA237-ref!E$38)&gt;0,0,IF(AA237=0, "0:00", SUM(AA237-ref!E$38))))</f>
        <v>0:00</v>
      </c>
      <c r="AC237" s="29"/>
      <c r="AD237" s="106"/>
      <c r="AE237" s="113" t="s">
        <v>29</v>
      </c>
      <c r="AF237" s="77">
        <f t="shared" si="186"/>
        <v>1</v>
      </c>
      <c r="AG237" s="19"/>
      <c r="AH237" s="178" t="s">
        <v>73</v>
      </c>
      <c r="AI237" s="54" t="s">
        <v>68</v>
      </c>
      <c r="AJ237" s="177" t="s">
        <v>74</v>
      </c>
      <c r="AK237" s="55" cm="1">
        <f t="array" ref="AK237">IF(ISNUMBER(G238),G238-_xlfn.AGGREGATE(14,6,(K$4:K237&lt;G238)*K$4:K237,1),"")</f>
        <v>0.46666666666715173</v>
      </c>
      <c r="AL237" s="20">
        <f>IF(ISNUMBER(AK237),ABS(IF(SUM(AK237-ref!E$9)&gt;0,0,SUM(AK237-ref!E$9))),"")</f>
        <v>0</v>
      </c>
      <c r="AQ237"/>
    </row>
    <row r="238" spans="2:43" x14ac:dyDescent="0.25">
      <c r="B238" s="79" t="s">
        <v>58</v>
      </c>
      <c r="C238" s="90" t="s">
        <v>20</v>
      </c>
      <c r="D238" s="88"/>
      <c r="E238" s="154">
        <f t="shared" si="187"/>
        <v>43994</v>
      </c>
      <c r="F238" s="164" t="s">
        <v>20</v>
      </c>
      <c r="G238" s="155">
        <f t="shared" si="183"/>
        <v>43994.383333333331</v>
      </c>
      <c r="H238" s="29">
        <v>0.3833333333333333</v>
      </c>
      <c r="I238" s="23">
        <f t="shared" si="188"/>
        <v>3.819444444444442E-2</v>
      </c>
      <c r="J238" s="29">
        <v>0.97916666666666663</v>
      </c>
      <c r="K238" s="46">
        <f t="shared" si="184"/>
        <v>43994.979166666664</v>
      </c>
      <c r="L238" s="21">
        <f>IF(OR(F238="télétravail",F238="férié travaillé",F238="travail"),(J238-H238+IF(H238&gt;J238,1)-I238),INDEX(ref!$E$22:'ref'!$E$37,MATCH(F238,gerald3,0)))</f>
        <v>0.55763888888888891</v>
      </c>
      <c r="M238" s="13">
        <f>IF(SUM(L238-ref!E$8)&lt;0,0,SUM(L238-ref!E$8))</f>
        <v>0.14097222222222222</v>
      </c>
      <c r="N238" s="252">
        <f>L238-(hs!D237+hs!F237+hs!H237+hs!J237)</f>
        <v>-0.24652777777777768</v>
      </c>
      <c r="O238" s="8">
        <f>IF(OR(F238="férié travaillé",F238="travail",F238="asa",F238="rtt"),J238-H238+IF(H238&gt;J238,1),INDEX(ref!$E$22:'ref'!$E$37,MATCH(F238,gerald2,0)))</f>
        <v>0.59583333333333333</v>
      </c>
      <c r="P238" s="14">
        <f>IF(SUM(O238-ref!E$4)&lt;0,0,SUM(O238-ref!E$4))</f>
        <v>9.5833333333333326E-2</v>
      </c>
      <c r="Q238" s="24">
        <f t="shared" si="189"/>
        <v>1.7826388888888891</v>
      </c>
      <c r="S238" s="137"/>
      <c r="T238" s="92">
        <v>0.50347222222222221</v>
      </c>
      <c r="U238" s="129">
        <v>0.54166666666666663</v>
      </c>
      <c r="V238" s="142">
        <f t="shared" si="185"/>
        <v>3.819444444444442E-2</v>
      </c>
      <c r="W238" s="141">
        <f>IF(V238="","",IF(SUM(V238-ref!E$38)&gt;0,0,IF(V238=0, "0:00", SUM(V238-ref!E$38))))</f>
        <v>0</v>
      </c>
      <c r="X238" s="137"/>
      <c r="Y238" s="92"/>
      <c r="Z238" s="247"/>
      <c r="AA238" s="142">
        <f t="shared" si="190"/>
        <v>0</v>
      </c>
      <c r="AB238" s="245" t="str">
        <f>IF(AA238="","",IF(SUM(AA238-ref!E$38)&gt;0,0,IF(AA238=0, "0:00", SUM(AA238-ref!E$38))))</f>
        <v>0:00</v>
      </c>
      <c r="AC238" s="29"/>
      <c r="AD238" s="106"/>
      <c r="AE238" s="114">
        <f>Q241</f>
        <v>2.5659722222222223</v>
      </c>
      <c r="AF238" s="77">
        <f t="shared" si="186"/>
        <v>1</v>
      </c>
      <c r="AG238" s="19"/>
      <c r="AH238" s="178" t="s">
        <v>74</v>
      </c>
      <c r="AI238" s="54" t="s">
        <v>68</v>
      </c>
      <c r="AJ238" s="177" t="s">
        <v>75</v>
      </c>
      <c r="AK238" s="55" cm="1">
        <f t="array" ref="AK238">IF(ISNUMBER(G239),G239-_xlfn.AGGREGATE(14,6,(K$4:K238&lt;G239)*K$4:K238,1),"")</f>
        <v>0.53055555556056788</v>
      </c>
      <c r="AL238" s="20">
        <f>IF(ISNUMBER(AK238),ABS(IF(SUM(AK238-ref!E$9)&gt;0,0,SUM(AK238-ref!E$9))),"")</f>
        <v>0</v>
      </c>
      <c r="AQ238"/>
    </row>
    <row r="239" spans="2:43" x14ac:dyDescent="0.25">
      <c r="B239" s="81">
        <v>6</v>
      </c>
      <c r="C239" s="90" t="s">
        <v>20</v>
      </c>
      <c r="D239" s="88"/>
      <c r="E239" s="154">
        <f t="shared" si="187"/>
        <v>43995</v>
      </c>
      <c r="F239" s="164" t="s">
        <v>20</v>
      </c>
      <c r="G239" s="155">
        <f t="shared" si="183"/>
        <v>43995.509722222225</v>
      </c>
      <c r="H239" s="29">
        <v>0.50972222222222219</v>
      </c>
      <c r="I239" s="23">
        <f t="shared" si="188"/>
        <v>0.10277777777777775</v>
      </c>
      <c r="J239" s="29">
        <v>0.89583333333333337</v>
      </c>
      <c r="K239" s="46">
        <f t="shared" si="184"/>
        <v>43995.895833333336</v>
      </c>
      <c r="L239" s="21">
        <f>IF(OR(F239="télétravail",F239="férié travaillé",F239="travail"),(J239-H239+IF(H239&gt;J239,1)-I239),INDEX(ref!$E$22:'ref'!$E$37,MATCH(F239,gerald3,0)))</f>
        <v>0.28333333333333344</v>
      </c>
      <c r="M239" s="13">
        <f>IF(SUM(L239-ref!E$8)&lt;0,0,SUM(L239-ref!E$8))</f>
        <v>0</v>
      </c>
      <c r="N239" s="252">
        <f>L239-(hs!D238+hs!F238+hs!H238+hs!J238)</f>
        <v>-0.22777777777777775</v>
      </c>
      <c r="O239" s="8">
        <f>IF(OR(F239="férié travaillé",F239="travail",F239="asa",F239="rtt"),J239-H239+IF(H239&gt;J239,1),INDEX(ref!$E$22:'ref'!$E$37,MATCH(F239,gerald2,0)))</f>
        <v>0.38611111111111118</v>
      </c>
      <c r="P239" s="14">
        <f>IF(SUM(O239-ref!E$4)&lt;0,0,SUM(O239-ref!E$4))</f>
        <v>0</v>
      </c>
      <c r="Q239" s="24">
        <f t="shared" si="189"/>
        <v>2.0659722222222223</v>
      </c>
      <c r="S239" s="137"/>
      <c r="T239" s="92">
        <v>0.52152777777777781</v>
      </c>
      <c r="U239" s="129">
        <v>0.62430555555555556</v>
      </c>
      <c r="V239" s="142">
        <f t="shared" si="185"/>
        <v>0.10277777777777775</v>
      </c>
      <c r="W239" s="141">
        <f>IF(V239="","",IF(SUM(V239-ref!E$38)&gt;0,0,IF(V239=0, "0:00", SUM(V239-ref!E$38))))</f>
        <v>0</v>
      </c>
      <c r="X239" s="137"/>
      <c r="Y239" s="92"/>
      <c r="Z239" s="247"/>
      <c r="AA239" s="142">
        <f t="shared" si="190"/>
        <v>0</v>
      </c>
      <c r="AB239" s="245" t="str">
        <f>IF(AA239="","",IF(SUM(AA239-ref!E$38)&gt;0,0,IF(AA239=0, "0:00", SUM(AA239-ref!E$38))))</f>
        <v>0:00</v>
      </c>
      <c r="AC239" s="29"/>
      <c r="AD239" s="106"/>
      <c r="AE239" s="117" t="s">
        <v>47</v>
      </c>
      <c r="AF239" s="77">
        <f t="shared" si="186"/>
        <v>1</v>
      </c>
      <c r="AG239" s="19"/>
      <c r="AH239" s="178" t="s">
        <v>75</v>
      </c>
      <c r="AI239" s="54" t="s">
        <v>68</v>
      </c>
      <c r="AJ239" s="177" t="s">
        <v>76</v>
      </c>
      <c r="AK239" s="55" cm="1">
        <f t="array" ref="AK239">IF(ISNUMBER(G240),G240-_xlfn.AGGREGATE(14,6,(K$4:K239&lt;G240)*K$4:K239,1),"")</f>
        <v>0.66666666666424135</v>
      </c>
      <c r="AL239" s="20">
        <f>IF(ISNUMBER(AK239),ABS(IF(SUM(AK239-ref!E$9)&gt;0,0,SUM(AK239-ref!E$9))),"")</f>
        <v>0</v>
      </c>
      <c r="AQ239"/>
    </row>
    <row r="240" spans="2:43" ht="15.75" thickBot="1" x14ac:dyDescent="0.3">
      <c r="B240"/>
      <c r="C240" s="89"/>
      <c r="D240" s="89"/>
      <c r="E240" s="154">
        <f t="shared" si="187"/>
        <v>43996</v>
      </c>
      <c r="F240" s="164" t="s">
        <v>20</v>
      </c>
      <c r="G240" s="155">
        <f t="shared" si="183"/>
        <v>43996.5625</v>
      </c>
      <c r="H240" s="29">
        <v>0.5625</v>
      </c>
      <c r="I240" s="23">
        <f t="shared" si="188"/>
        <v>0</v>
      </c>
      <c r="J240" s="29">
        <v>6.25E-2</v>
      </c>
      <c r="K240" s="46">
        <f t="shared" si="184"/>
        <v>43997.0625</v>
      </c>
      <c r="L240" s="21">
        <f>IF(OR(F240="télétravail",F240="férié travaillé",F240="travail"),(J240-H240+IF(H240&gt;J240,1)-I240),INDEX(ref!$E$22:'ref'!$E$37,MATCH(F240,gerald3,0)))</f>
        <v>0.5</v>
      </c>
      <c r="M240" s="13">
        <f>IF(SUM(L240-ref!E$8)&lt;0,0,SUM(L240-ref!E$8))</f>
        <v>8.3333333333333315E-2</v>
      </c>
      <c r="N240" s="252">
        <f>L240-(hs!D239+hs!F239+hs!H239+hs!J239)</f>
        <v>1.125</v>
      </c>
      <c r="O240" s="8">
        <f>IF(OR(F240="férié travaillé",F240="travail",F240="asa",F240="rtt"),J240-H240+IF(H240&gt;J240,1),INDEX(ref!$E$22:'ref'!$E$37,MATCH(F240,gerald2,0)))</f>
        <v>0.5</v>
      </c>
      <c r="P240" s="14">
        <f>IF(SUM(O240-ref!E$4)&lt;0,0,SUM(O240-ref!E$4))</f>
        <v>0</v>
      </c>
      <c r="Q240" s="93">
        <f t="shared" si="189"/>
        <v>2.5659722222222223</v>
      </c>
      <c r="S240" s="137"/>
      <c r="T240" s="92"/>
      <c r="U240" s="129"/>
      <c r="V240" s="142">
        <f t="shared" si="185"/>
        <v>0</v>
      </c>
      <c r="W240" s="141" t="str">
        <f>IF(V240="","",IF(SUM(V240-ref!E$38)&gt;0,0,IF(V240=0, "0:00", SUM(V240-ref!E$38))))</f>
        <v>0:00</v>
      </c>
      <c r="X240" s="137"/>
      <c r="Y240" s="92"/>
      <c r="Z240" s="247"/>
      <c r="AA240" s="142">
        <f t="shared" si="190"/>
        <v>0</v>
      </c>
      <c r="AB240" s="245" t="str">
        <f>IF(AA240="","",IF(SUM(AA240-ref!E$38)&gt;0,0,IF(AA240=0, "0:00", SUM(AA240-ref!E$38))))</f>
        <v>0:00</v>
      </c>
      <c r="AC240" s="29"/>
      <c r="AD240" s="106"/>
      <c r="AE240" s="118">
        <f>ref!E$11</f>
        <v>2</v>
      </c>
      <c r="AF240" s="77">
        <f t="shared" si="186"/>
        <v>1</v>
      </c>
      <c r="AG240" s="19"/>
      <c r="AH240" s="178" t="s">
        <v>76</v>
      </c>
      <c r="AI240" s="54" t="s">
        <v>68</v>
      </c>
      <c r="AJ240" s="177" t="s">
        <v>77</v>
      </c>
      <c r="AK240" s="55" t="str" cm="1">
        <f t="array" ref="AK240">IF(ISNUMBER(G241),G241-_xlfn.AGGREGATE(14,6,(K$4:K240&lt;G241)*K$4:K240,1),"")</f>
        <v/>
      </c>
      <c r="AL240" s="20" t="str">
        <f>IF(ISNUMBER(AK240),ABS(IF(SUM(AK240-ref!E$9)&gt;0,0,SUM(AK240-ref!E$9))),"")</f>
        <v/>
      </c>
      <c r="AQ240"/>
    </row>
    <row r="241" spans="2:43" ht="15.75" thickBot="1" x14ac:dyDescent="0.3">
      <c r="B241"/>
      <c r="C241" s="89"/>
      <c r="D241" s="89"/>
      <c r="E241" s="154">
        <f t="shared" si="187"/>
        <v>43997</v>
      </c>
      <c r="F241" s="165" t="s">
        <v>19</v>
      </c>
      <c r="G241" s="162" t="str">
        <f t="shared" si="183"/>
        <v/>
      </c>
      <c r="H241" s="29"/>
      <c r="I241" s="23">
        <f t="shared" si="188"/>
        <v>0</v>
      </c>
      <c r="J241" s="29"/>
      <c r="K241" s="46" t="str">
        <f t="shared" si="184"/>
        <v/>
      </c>
      <c r="L241" s="21">
        <f>IF(OR(F241="télétravail",F241="férié travaillé",F241="travail"),(J241-H241+IF(H241&gt;J241,1)-I241),INDEX(ref!$E$22:'ref'!$E$37,MATCH(F241,gerald3,0)))</f>
        <v>0</v>
      </c>
      <c r="M241" s="13">
        <f>IF(SUM(L241-ref!E$8)&lt;0,0,SUM(L241-ref!E$8))</f>
        <v>0</v>
      </c>
      <c r="N241" s="252">
        <f>L241-(hs!D240+hs!F240+hs!H240+hs!J240)</f>
        <v>0</v>
      </c>
      <c r="O241" s="8">
        <f>IF(OR(F241="férié travaillé",F241="travail",F241="asa",F241="rtt"),J241-H241+IF(H241&gt;J241,1),INDEX(ref!$E$22:'ref'!$E$37,MATCH(F241,gerald2,0)))</f>
        <v>0</v>
      </c>
      <c r="P241" s="14">
        <f>IF(SUM(O241-ref!E$4)&lt;0,0,SUM(O241-ref!E$4))</f>
        <v>0</v>
      </c>
      <c r="Q241" s="94">
        <f t="shared" si="189"/>
        <v>2.5659722222222223</v>
      </c>
      <c r="S241" s="138"/>
      <c r="T241" s="92"/>
      <c r="U241" s="129"/>
      <c r="V241" s="142">
        <f t="shared" si="185"/>
        <v>0</v>
      </c>
      <c r="W241" s="141" t="str">
        <f>IF(V241="","",IF(SUM(V241-ref!E$38)&gt;0,0,IF(V241=0, "0:00", SUM(V241-ref!E$38))))</f>
        <v>0:00</v>
      </c>
      <c r="X241" s="138"/>
      <c r="Y241" s="92"/>
      <c r="Z241" s="247"/>
      <c r="AA241" s="142">
        <f t="shared" si="190"/>
        <v>0</v>
      </c>
      <c r="AB241" s="246" t="str">
        <f>IF(AA241="","",IF(SUM(AA241-ref!E$38)&gt;0,0,IF(AA241=0, "0:00", SUM(AA241-ref!E$38))))</f>
        <v>0:00</v>
      </c>
      <c r="AC241" s="29"/>
      <c r="AD241" s="106"/>
      <c r="AE241" s="110">
        <f>IF(SUM(Q241-ref!E$11)&lt;0,0,SUM(Q241-ref!E$11))</f>
        <v>0.56597222222222232</v>
      </c>
      <c r="AF241" s="77">
        <f t="shared" si="186"/>
        <v>1</v>
      </c>
      <c r="AG241" s="19"/>
      <c r="AQ241"/>
    </row>
    <row r="242" spans="2:43" x14ac:dyDescent="0.25">
      <c r="C242" s="89"/>
      <c r="D242" s="89"/>
      <c r="W242" s="74"/>
      <c r="X242" s="2"/>
      <c r="Z242"/>
      <c r="AA242" s="2"/>
      <c r="AB242" s="2"/>
      <c r="AC242" s="127"/>
      <c r="AQ242"/>
    </row>
    <row r="243" spans="2:43" x14ac:dyDescent="0.25">
      <c r="C243" s="89"/>
      <c r="D243" s="89"/>
      <c r="X243" s="2"/>
      <c r="Z243"/>
      <c r="AA243" s="2"/>
      <c r="AB243" s="2"/>
      <c r="AC243" s="127"/>
      <c r="AQ243"/>
    </row>
    <row r="244" spans="2:43" ht="15.75" thickBot="1" x14ac:dyDescent="0.3">
      <c r="C244" s="89"/>
      <c r="D244" s="89"/>
      <c r="W244" s="74"/>
      <c r="X244" s="2"/>
      <c r="Z244"/>
      <c r="AA244" s="2"/>
      <c r="AB244" s="2"/>
      <c r="AC244" s="127"/>
      <c r="AQ244"/>
    </row>
    <row r="245" spans="2:43" x14ac:dyDescent="0.25">
      <c r="B245" s="78" t="s">
        <v>1</v>
      </c>
      <c r="C245" s="90" t="s">
        <v>20</v>
      </c>
      <c r="D245" s="88"/>
      <c r="E245" s="154">
        <f>DATE(ref!E$2,B249,B247)</f>
        <v>43998</v>
      </c>
      <c r="F245" s="163" t="s">
        <v>19</v>
      </c>
      <c r="G245" s="155" t="str">
        <f t="shared" ref="G245:G251" si="191">IF(AND(J245="",H245=""),"",E245+H245)</f>
        <v/>
      </c>
      <c r="H245" s="29"/>
      <c r="I245" s="23">
        <f>SUM(V245+AA245+AC245)</f>
        <v>0</v>
      </c>
      <c r="J245" s="29"/>
      <c r="K245" s="46" t="str">
        <f t="shared" ref="K245:K251" si="192">IF(AND(H245="",J245=""),"",E245+J245+(H245&gt;J245))</f>
        <v/>
      </c>
      <c r="L245" s="21">
        <f>IF(OR(F245="télétravail",F245="férié travaillé",F245="travail"),(J245-H245+IF(H245&gt;J245,1)-I245),INDEX(ref!$E$22:'ref'!$E$37,MATCH(F245,gerald3,0)))</f>
        <v>0</v>
      </c>
      <c r="M245" s="13">
        <f>IF(SUM(L245-ref!E$8)&lt;0,0,SUM(L245-ref!E$8))</f>
        <v>0</v>
      </c>
      <c r="N245" s="252">
        <f>L245-(hs!D244+hs!F244+hs!H244+hs!J244)</f>
        <v>0</v>
      </c>
      <c r="O245" s="8">
        <f>IF(OR(F245="férié travaillé",F245="travail",F245="asa",F245="rtt"),J245-H245+IF(H245&gt;J245,1),INDEX(ref!$E$22:'ref'!$E$37,MATCH(F245,gerald2,0)))</f>
        <v>0</v>
      </c>
      <c r="P245" s="14">
        <f>IF(SUM(O245-ref!E$4)&lt;0,0,SUM(O245-ref!E$4))</f>
        <v>0</v>
      </c>
      <c r="Q245" s="21">
        <f>L245</f>
        <v>0</v>
      </c>
      <c r="S245" s="136"/>
      <c r="T245" s="92"/>
      <c r="U245" s="129"/>
      <c r="V245" s="142">
        <f t="shared" ref="V245:V251" si="193">U245-T245</f>
        <v>0</v>
      </c>
      <c r="W245" s="141" t="str">
        <f>IF(V245="","",IF(SUM(V245-ref!E$38)&gt;0,0,IF(V245=0, "0:00", SUM(V245-ref!E$38))))</f>
        <v>0:00</v>
      </c>
      <c r="X245" s="136"/>
      <c r="Y245" s="92"/>
      <c r="Z245" s="247"/>
      <c r="AA245" s="142">
        <f>Z245-Y245</f>
        <v>0</v>
      </c>
      <c r="AB245" s="244" t="str">
        <f>IF(AA245="","",IF(SUM(AA245-ref!E$38)&gt;0,0,IF(AA245=0, "0:00", SUM(AA245-ref!E$38))))</f>
        <v>0:00</v>
      </c>
      <c r="AC245" s="29"/>
      <c r="AD245" s="106"/>
      <c r="AE245" s="111">
        <f>SUM(AF245:AF251)</f>
        <v>4</v>
      </c>
      <c r="AF245" s="77">
        <f t="shared" ref="AF245:AF251" si="194">IF(AND(H245&lt;&gt;"",J245&lt;&gt;""),1,0+OR(N(J244)&lt;N(H244),F245="récupération",F245="congé 1 jour",F245="congé 1/2 jour ",F245="congé 5h24",F245="arrêt maladie",F245="arrêt travail",F245="férié ",F245="congé parentale",F245="congé de naissance"))</f>
        <v>0</v>
      </c>
      <c r="AG245" s="19"/>
      <c r="AH245" s="176" t="s">
        <v>71</v>
      </c>
      <c r="AI245" s="54" t="s">
        <v>68</v>
      </c>
      <c r="AJ245" s="177" t="s">
        <v>72</v>
      </c>
      <c r="AK245" s="55" cm="1">
        <f t="array" ref="AK245">IF(ISNUMBER(G246),G246-_xlfn.AGGREGATE(14,6,(K$4:K245&lt;G246)*K$4:K245,1),"")</f>
        <v>2.3215277777781012</v>
      </c>
      <c r="AL245" s="20">
        <f>IF(ISNUMBER(AK245),ABS(IF(SUM(AK245-ref!E$9)&gt;0,0,SUM(AK245-ref!E$9))),"")</f>
        <v>0</v>
      </c>
      <c r="AQ245"/>
    </row>
    <row r="246" spans="2:43" x14ac:dyDescent="0.25">
      <c r="B246" s="79" t="s">
        <v>1</v>
      </c>
      <c r="C246" s="90" t="s">
        <v>20</v>
      </c>
      <c r="D246" s="88"/>
      <c r="E246" s="154">
        <f t="shared" ref="E246:E251" si="195">E245+1</f>
        <v>43999</v>
      </c>
      <c r="F246" s="164" t="s">
        <v>20</v>
      </c>
      <c r="G246" s="155">
        <f t="shared" si="191"/>
        <v>43999.384027777778</v>
      </c>
      <c r="H246" s="29">
        <v>0.3840277777777778</v>
      </c>
      <c r="I246" s="23">
        <f t="shared" ref="I246:I251" si="196">SUM(V246+AA246+AC246)</f>
        <v>5.4861111111111138E-2</v>
      </c>
      <c r="J246" s="29">
        <v>0.95486111111111116</v>
      </c>
      <c r="K246" s="46">
        <f t="shared" si="192"/>
        <v>43999.954861111109</v>
      </c>
      <c r="L246" s="21">
        <f>IF(OR(F246="télétravail",F246="férié travaillé",F246="travail"),(J246-H246+IF(H246&gt;J246,1)-I246),INDEX(ref!$E$22:'ref'!$E$37,MATCH(F246,gerald3,0)))</f>
        <v>0.51597222222222217</v>
      </c>
      <c r="M246" s="13">
        <f>IF(SUM(L246-ref!E$8)&lt;0,0,SUM(L246-ref!E$8))</f>
        <v>9.930555555555548E-2</v>
      </c>
      <c r="N246" s="252">
        <f>L246-(hs!D245+hs!F245+hs!H245+hs!J245)</f>
        <v>-0.23888888888888893</v>
      </c>
      <c r="O246" s="8">
        <f>IF(OR(F246="férié travaillé",F246="travail",F246="asa",F246="rtt"),J246-H246+IF(H246&gt;J246,1),INDEX(ref!$E$22:'ref'!$E$37,MATCH(F246,gerald2,0)))</f>
        <v>0.5708333333333333</v>
      </c>
      <c r="P246" s="14">
        <f>IF(SUM(O246-ref!E$4)&lt;0,0,SUM(O246-ref!E$4))</f>
        <v>7.0833333333333304E-2</v>
      </c>
      <c r="Q246" s="24">
        <f t="shared" ref="Q246:Q251" si="197">Q245+L246</f>
        <v>0.51597222222222217</v>
      </c>
      <c r="S246" s="137"/>
      <c r="T246" s="92">
        <v>0.50694444444444442</v>
      </c>
      <c r="U246" s="129">
        <v>0.56180555555555556</v>
      </c>
      <c r="V246" s="142">
        <f t="shared" si="193"/>
        <v>5.4861111111111138E-2</v>
      </c>
      <c r="W246" s="141">
        <f>IF(V246="","",IF(SUM(V246-ref!E$38)&gt;0,0,IF(V246=0, "0:00", SUM(V246-ref!E$38))))</f>
        <v>0</v>
      </c>
      <c r="X246" s="137"/>
      <c r="Y246" s="92"/>
      <c r="Z246" s="247"/>
      <c r="AA246" s="142">
        <f t="shared" ref="AA246:AA251" si="198">Z246-Y246</f>
        <v>0</v>
      </c>
      <c r="AB246" s="245" t="str">
        <f>IF(AA246="","",IF(SUM(AA246-ref!E$38)&gt;0,0,IF(AA246=0, "0:00", SUM(AA246-ref!E$38))))</f>
        <v>0:00</v>
      </c>
      <c r="AC246" s="29"/>
      <c r="AD246" s="106"/>
      <c r="AE246" s="112">
        <f>IF(SUM(AE245-ref!E$7)&lt;0,0,SUM(AE245-ref!E$7))</f>
        <v>0</v>
      </c>
      <c r="AF246" s="77">
        <f t="shared" si="194"/>
        <v>1</v>
      </c>
      <c r="AG246" s="19"/>
      <c r="AH246" s="178" t="s">
        <v>72</v>
      </c>
      <c r="AI246" s="54" t="s">
        <v>68</v>
      </c>
      <c r="AJ246" s="177" t="s">
        <v>73</v>
      </c>
      <c r="AK246" s="55" cm="1">
        <f t="array" ref="AK246">IF(ISNUMBER(G247),G247-_xlfn.AGGREGATE(14,6,(K$4:K246&lt;G247)*K$4:K246,1),"")</f>
        <v>0.46319444444816327</v>
      </c>
      <c r="AL246" s="20">
        <f>IF(ISNUMBER(AK246),ABS(IF(SUM(AK246-ref!E$9)&gt;0,0,SUM(AK246-ref!E$9))),"")</f>
        <v>0</v>
      </c>
      <c r="AQ246"/>
    </row>
    <row r="247" spans="2:43" x14ac:dyDescent="0.25">
      <c r="B247" s="80">
        <v>17</v>
      </c>
      <c r="C247" s="90" t="s">
        <v>20</v>
      </c>
      <c r="D247" s="88"/>
      <c r="E247" s="154">
        <f t="shared" si="195"/>
        <v>44000</v>
      </c>
      <c r="F247" s="164" t="s">
        <v>20</v>
      </c>
      <c r="G247" s="155">
        <f t="shared" si="191"/>
        <v>44000.418055555558</v>
      </c>
      <c r="H247" s="29">
        <v>0.41805555555555557</v>
      </c>
      <c r="I247" s="23">
        <f t="shared" si="196"/>
        <v>3.3333333333333326E-2</v>
      </c>
      <c r="J247" s="29">
        <v>0.78055555555555556</v>
      </c>
      <c r="K247" s="46">
        <f t="shared" si="192"/>
        <v>44000.780555555553</v>
      </c>
      <c r="L247" s="21">
        <f>IF(OR(F247="télétravail",F247="férié travaillé",F247="travail"),(J247-H247+IF(H247&gt;J247,1)-I247),INDEX(ref!$E$22:'ref'!$E$37,MATCH(F247,gerald3,0)))</f>
        <v>0.32916666666666666</v>
      </c>
      <c r="M247" s="13">
        <f>IF(SUM(L247-ref!E$8)&lt;0,0,SUM(L247-ref!E$8))</f>
        <v>0</v>
      </c>
      <c r="N247" s="252">
        <f>L247-(hs!D246+hs!F246+hs!H246+hs!J246)</f>
        <v>-4.3055555555555514E-2</v>
      </c>
      <c r="O247" s="8">
        <f>IF(OR(F247="férié travaillé",F247="travail",F247="asa",F247="rtt"),J247-H247+IF(H247&gt;J247,1),INDEX(ref!$E$22:'ref'!$E$37,MATCH(F247,gerald2,0)))</f>
        <v>0.36249999999999999</v>
      </c>
      <c r="P247" s="14">
        <f>IF(SUM(O247-ref!E$4)&lt;0,0,SUM(O247-ref!E$4))</f>
        <v>0</v>
      </c>
      <c r="Q247" s="24">
        <f t="shared" si="197"/>
        <v>0.84513888888888888</v>
      </c>
      <c r="S247" s="137"/>
      <c r="T247" s="92">
        <v>0.52916666666666667</v>
      </c>
      <c r="U247" s="129">
        <v>0.5625</v>
      </c>
      <c r="V247" s="142">
        <f t="shared" si="193"/>
        <v>3.3333333333333326E-2</v>
      </c>
      <c r="W247" s="141">
        <f>IF(V247="","",IF(SUM(V247-ref!E$38)&gt;0,0,IF(V247=0, "0:00", SUM(V247-ref!E$38))))</f>
        <v>0</v>
      </c>
      <c r="X247" s="137"/>
      <c r="Y247" s="92"/>
      <c r="Z247" s="247"/>
      <c r="AA247" s="142">
        <f t="shared" si="198"/>
        <v>0</v>
      </c>
      <c r="AB247" s="245" t="str">
        <f>IF(AA247="","",IF(SUM(AA247-ref!E$38)&gt;0,0,IF(AA247=0, "0:00", SUM(AA247-ref!E$38))))</f>
        <v>0:00</v>
      </c>
      <c r="AC247" s="29"/>
      <c r="AD247" s="106"/>
      <c r="AE247" s="113" t="s">
        <v>29</v>
      </c>
      <c r="AF247" s="77">
        <f t="shared" si="194"/>
        <v>1</v>
      </c>
      <c r="AG247" s="19"/>
      <c r="AH247" s="178" t="s">
        <v>73</v>
      </c>
      <c r="AI247" s="54" t="s">
        <v>68</v>
      </c>
      <c r="AJ247" s="177" t="s">
        <v>74</v>
      </c>
      <c r="AK247" s="55" cm="1">
        <f t="array" ref="AK247">IF(ISNUMBER(G248),G248-_xlfn.AGGREGATE(14,6,(K$4:K247&lt;G248)*K$4:K247,1),"")</f>
        <v>0.59930555555911269</v>
      </c>
      <c r="AL247" s="20">
        <f>IF(ISNUMBER(AK247),ABS(IF(SUM(AK247-ref!E$9)&gt;0,0,SUM(AK247-ref!E$9))),"")</f>
        <v>0</v>
      </c>
      <c r="AQ247"/>
    </row>
    <row r="248" spans="2:43" x14ac:dyDescent="0.25">
      <c r="B248" s="79" t="s">
        <v>58</v>
      </c>
      <c r="C248" s="90" t="s">
        <v>20</v>
      </c>
      <c r="D248" s="88"/>
      <c r="E248" s="154">
        <f t="shared" si="195"/>
        <v>44001</v>
      </c>
      <c r="F248" s="164" t="s">
        <v>20</v>
      </c>
      <c r="G248" s="155">
        <f t="shared" si="191"/>
        <v>44001.379861111112</v>
      </c>
      <c r="H248" s="29">
        <v>0.37986111111111109</v>
      </c>
      <c r="I248" s="23">
        <f t="shared" si="196"/>
        <v>3.3333333333333326E-2</v>
      </c>
      <c r="J248" s="29">
        <v>0.88888888888888884</v>
      </c>
      <c r="K248" s="46">
        <f t="shared" si="192"/>
        <v>44001.888888888891</v>
      </c>
      <c r="L248" s="21">
        <f>IF(OR(F248="télétravail",F248="férié travaillé",F248="travail"),(J248-H248+IF(H248&gt;J248,1)-I248),INDEX(ref!$E$22:'ref'!$E$37,MATCH(F248,gerald3,0)))</f>
        <v>0.47569444444444442</v>
      </c>
      <c r="M248" s="13">
        <f>IF(SUM(L248-ref!E$8)&lt;0,0,SUM(L248-ref!E$8))</f>
        <v>5.9027777777777735E-2</v>
      </c>
      <c r="N248" s="252">
        <f>L248-(hs!D247+hs!F247+hs!H247+hs!J247)</f>
        <v>-0.1513888888888888</v>
      </c>
      <c r="O248" s="8">
        <f>IF(OR(F248="férié travaillé",F248="travail",F248="asa",F248="rtt"),J248-H248+IF(H248&gt;J248,1),INDEX(ref!$E$22:'ref'!$E$37,MATCH(F248,gerald2,0)))</f>
        <v>0.50902777777777775</v>
      </c>
      <c r="P248" s="14">
        <f>IF(SUM(O248-ref!E$4)&lt;0,0,SUM(O248-ref!E$4))</f>
        <v>9.0277777777777457E-3</v>
      </c>
      <c r="Q248" s="24">
        <f t="shared" si="197"/>
        <v>1.3208333333333333</v>
      </c>
      <c r="S248" s="137"/>
      <c r="T248" s="92">
        <v>0.51875000000000004</v>
      </c>
      <c r="U248" s="129">
        <v>0.55208333333333337</v>
      </c>
      <c r="V248" s="142">
        <f t="shared" si="193"/>
        <v>3.3333333333333326E-2</v>
      </c>
      <c r="W248" s="141">
        <f>IF(V248="","",IF(SUM(V248-ref!E$38)&gt;0,0,IF(V248=0, "0:00", SUM(V248-ref!E$38))))</f>
        <v>0</v>
      </c>
      <c r="X248" s="137"/>
      <c r="Y248" s="92"/>
      <c r="Z248" s="247"/>
      <c r="AA248" s="142">
        <f t="shared" si="198"/>
        <v>0</v>
      </c>
      <c r="AB248" s="245" t="str">
        <f>IF(AA248="","",IF(SUM(AA248-ref!E$38)&gt;0,0,IF(AA248=0, "0:00", SUM(AA248-ref!E$38))))</f>
        <v>0:00</v>
      </c>
      <c r="AC248" s="29"/>
      <c r="AD248" s="106"/>
      <c r="AE248" s="114">
        <f>Q251</f>
        <v>1.7888888888888888</v>
      </c>
      <c r="AF248" s="77">
        <f t="shared" si="194"/>
        <v>1</v>
      </c>
      <c r="AG248" s="19"/>
      <c r="AH248" s="178" t="s">
        <v>74</v>
      </c>
      <c r="AI248" s="54" t="s">
        <v>68</v>
      </c>
      <c r="AJ248" s="177" t="s">
        <v>75</v>
      </c>
      <c r="AK248" s="55" cm="1">
        <f t="array" ref="AK248">IF(ISNUMBER(G249),G249-_xlfn.AGGREGATE(14,6,(K$4:K248&lt;G249)*K$4:K248,1),"")</f>
        <v>0.48611111110949423</v>
      </c>
      <c r="AL248" s="20">
        <f>IF(ISNUMBER(AK248),ABS(IF(SUM(AK248-ref!E$9)&gt;0,0,SUM(AK248-ref!E$9))),"")</f>
        <v>0</v>
      </c>
      <c r="AQ248"/>
    </row>
    <row r="249" spans="2:43" x14ac:dyDescent="0.25">
      <c r="B249" s="81">
        <v>6</v>
      </c>
      <c r="C249" s="90" t="s">
        <v>20</v>
      </c>
      <c r="D249" s="88"/>
      <c r="E249" s="154">
        <f t="shared" si="195"/>
        <v>44002</v>
      </c>
      <c r="F249" s="164" t="s">
        <v>20</v>
      </c>
      <c r="G249" s="155">
        <f t="shared" si="191"/>
        <v>44002.375</v>
      </c>
      <c r="H249" s="29">
        <v>0.375</v>
      </c>
      <c r="I249" s="23">
        <f t="shared" si="196"/>
        <v>3.7500000000000089E-2</v>
      </c>
      <c r="J249" s="29">
        <v>0.88055555555555554</v>
      </c>
      <c r="K249" s="46">
        <f t="shared" si="192"/>
        <v>44002.880555555559</v>
      </c>
      <c r="L249" s="21">
        <f>IF(OR(F249="télétravail",F249="férié travaillé",F249="travail"),(J249-H249+IF(H249&gt;J249,1)-I249),INDEX(ref!$E$22:'ref'!$E$37,MATCH(F249,gerald3,0)))</f>
        <v>0.46805555555555545</v>
      </c>
      <c r="M249" s="13">
        <f>IF(SUM(L249-ref!E$8)&lt;0,0,SUM(L249-ref!E$8))</f>
        <v>5.1388888888888762E-2</v>
      </c>
      <c r="N249" s="252">
        <f>L249-(hs!D248+hs!F248+hs!H248+hs!J248)</f>
        <v>-0.14722222222222225</v>
      </c>
      <c r="O249" s="8">
        <f>IF(OR(F249="férié travaillé",F249="travail",F249="asa",F249="rtt"),J249-H249+IF(H249&gt;J249,1),INDEX(ref!$E$22:'ref'!$E$37,MATCH(F249,gerald2,0)))</f>
        <v>0.50555555555555554</v>
      </c>
      <c r="P249" s="14">
        <f>IF(SUM(O249-ref!E$4)&lt;0,0,SUM(O249-ref!E$4))</f>
        <v>5.5555555555555358E-3</v>
      </c>
      <c r="Q249" s="24">
        <f t="shared" si="197"/>
        <v>1.7888888888888888</v>
      </c>
      <c r="S249" s="137"/>
      <c r="T249" s="92">
        <v>0.51111111111111107</v>
      </c>
      <c r="U249" s="129">
        <v>0.54861111111111116</v>
      </c>
      <c r="V249" s="142">
        <f t="shared" si="193"/>
        <v>3.7500000000000089E-2</v>
      </c>
      <c r="W249" s="141">
        <f>IF(V249="","",IF(SUM(V249-ref!E$38)&gt;0,0,IF(V249=0, "0:00", SUM(V249-ref!E$38))))</f>
        <v>0</v>
      </c>
      <c r="X249" s="137"/>
      <c r="Y249" s="92"/>
      <c r="Z249" s="247"/>
      <c r="AA249" s="142">
        <f t="shared" si="198"/>
        <v>0</v>
      </c>
      <c r="AB249" s="245" t="str">
        <f>IF(AA249="","",IF(SUM(AA249-ref!E$38)&gt;0,0,IF(AA249=0, "0:00", SUM(AA249-ref!E$38))))</f>
        <v>0:00</v>
      </c>
      <c r="AC249" s="29"/>
      <c r="AD249" s="106"/>
      <c r="AE249" s="117" t="s">
        <v>47</v>
      </c>
      <c r="AF249" s="77">
        <f t="shared" si="194"/>
        <v>1</v>
      </c>
      <c r="AG249" s="19"/>
      <c r="AH249" s="178" t="s">
        <v>75</v>
      </c>
      <c r="AI249" s="54" t="s">
        <v>68</v>
      </c>
      <c r="AJ249" s="177" t="s">
        <v>76</v>
      </c>
      <c r="AK249" s="55" t="str" cm="1">
        <f t="array" ref="AK249">IF(ISNUMBER(G250),G250-_xlfn.AGGREGATE(14,6,(K$4:K249&lt;G250)*K$4:K249,1),"")</f>
        <v/>
      </c>
      <c r="AL249" s="20" t="str">
        <f>IF(ISNUMBER(AK249),ABS(IF(SUM(AK249-ref!E$9)&gt;0,0,SUM(AK249-ref!E$9))),"")</f>
        <v/>
      </c>
      <c r="AQ249"/>
    </row>
    <row r="250" spans="2:43" ht="15.75" thickBot="1" x14ac:dyDescent="0.3">
      <c r="B250"/>
      <c r="C250" s="89"/>
      <c r="D250" s="89"/>
      <c r="E250" s="154">
        <f t="shared" si="195"/>
        <v>44003</v>
      </c>
      <c r="F250" s="164" t="s">
        <v>19</v>
      </c>
      <c r="G250" s="155" t="str">
        <f t="shared" si="191"/>
        <v/>
      </c>
      <c r="H250" s="29"/>
      <c r="I250" s="23">
        <f t="shared" si="196"/>
        <v>0</v>
      </c>
      <c r="J250" s="29"/>
      <c r="K250" s="46" t="str">
        <f t="shared" si="192"/>
        <v/>
      </c>
      <c r="L250" s="21">
        <f>IF(OR(F250="télétravail",F250="férié travaillé",F250="travail"),(J250-H250+IF(H250&gt;J250,1)-I250),INDEX(ref!$E$22:'ref'!$E$37,MATCH(F250,gerald3,0)))</f>
        <v>0</v>
      </c>
      <c r="M250" s="13">
        <f>IF(SUM(L250-ref!E$8)&lt;0,0,SUM(L250-ref!E$8))</f>
        <v>0</v>
      </c>
      <c r="N250" s="252">
        <f>L250-(hs!D249+hs!F249+hs!H249+hs!J249)</f>
        <v>0</v>
      </c>
      <c r="O250" s="8">
        <f>IF(OR(F250="férié travaillé",F250="travail",F250="asa",F250="rtt"),J250-H250+IF(H250&gt;J250,1),INDEX(ref!$E$22:'ref'!$E$37,MATCH(F250,gerald2,0)))</f>
        <v>0</v>
      </c>
      <c r="P250" s="14">
        <f>IF(SUM(O250-ref!E$4)&lt;0,0,SUM(O250-ref!E$4))</f>
        <v>0</v>
      </c>
      <c r="Q250" s="97">
        <f t="shared" si="197"/>
        <v>1.7888888888888888</v>
      </c>
      <c r="S250" s="137"/>
      <c r="T250" s="92"/>
      <c r="U250" s="129"/>
      <c r="V250" s="142">
        <f t="shared" si="193"/>
        <v>0</v>
      </c>
      <c r="W250" s="141" t="str">
        <f>IF(V250="","",IF(SUM(V250-ref!E$38)&gt;0,0,IF(V250=0, "0:00", SUM(V250-ref!E$38))))</f>
        <v>0:00</v>
      </c>
      <c r="X250" s="137"/>
      <c r="Y250" s="92"/>
      <c r="Z250" s="247"/>
      <c r="AA250" s="142">
        <f t="shared" si="198"/>
        <v>0</v>
      </c>
      <c r="AB250" s="245" t="str">
        <f>IF(AA250="","",IF(SUM(AA250-ref!E$38)&gt;0,0,IF(AA250=0, "0:00", SUM(AA250-ref!E$38))))</f>
        <v>0:00</v>
      </c>
      <c r="AC250" s="29"/>
      <c r="AD250" s="106"/>
      <c r="AE250" s="118">
        <f>ref!E$11</f>
        <v>2</v>
      </c>
      <c r="AF250" s="77">
        <f t="shared" si="194"/>
        <v>0</v>
      </c>
      <c r="AG250" s="19"/>
      <c r="AH250" s="178" t="s">
        <v>76</v>
      </c>
      <c r="AI250" s="54" t="s">
        <v>68</v>
      </c>
      <c r="AJ250" s="177" t="s">
        <v>77</v>
      </c>
      <c r="AK250" s="55" t="str" cm="1">
        <f t="array" ref="AK250">IF(ISNUMBER(G251),G251-_xlfn.AGGREGATE(14,6,(K$4:K250&lt;G251)*K$4:K250,1),"")</f>
        <v/>
      </c>
      <c r="AL250" s="20" t="str">
        <f>IF(ISNUMBER(AK250),ABS(IF(SUM(AK250-ref!E$9)&gt;0,0,SUM(AK250-ref!E$9))),"")</f>
        <v/>
      </c>
      <c r="AQ250"/>
    </row>
    <row r="251" spans="2:43" ht="15.75" thickBot="1" x14ac:dyDescent="0.3">
      <c r="B251"/>
      <c r="C251" s="89"/>
      <c r="D251" s="89"/>
      <c r="E251" s="154">
        <f t="shared" si="195"/>
        <v>44004</v>
      </c>
      <c r="F251" s="165" t="s">
        <v>19</v>
      </c>
      <c r="G251" s="155" t="str">
        <f t="shared" si="191"/>
        <v/>
      </c>
      <c r="H251" s="29"/>
      <c r="I251" s="23">
        <f t="shared" si="196"/>
        <v>0</v>
      </c>
      <c r="J251" s="29"/>
      <c r="K251" s="46" t="str">
        <f t="shared" si="192"/>
        <v/>
      </c>
      <c r="L251" s="21">
        <f>IF(OR(F251="télétravail",F251="férié travaillé",F251="travail"),(J251-H251+IF(H251&gt;J251,1)-I251),INDEX(ref!$E$22:'ref'!$E$37,MATCH(F251,gerald3,0)))</f>
        <v>0</v>
      </c>
      <c r="M251" s="13">
        <f>IF(SUM(L251-ref!E$8)&lt;0,0,SUM(L251-ref!E$8))</f>
        <v>0</v>
      </c>
      <c r="N251" s="252">
        <f>L251-(hs!D250+hs!F250+hs!H250+hs!J250)</f>
        <v>0</v>
      </c>
      <c r="O251" s="8">
        <f>IF(OR(F251="férié travaillé",F251="travail",F251="asa",F251="rtt"),J251-H251+IF(H251&gt;J251,1),INDEX(ref!$E$22:'ref'!$E$37,MATCH(F251,gerald2,0)))</f>
        <v>0</v>
      </c>
      <c r="P251" s="14">
        <f>IF(SUM(O251-ref!E$4)&lt;0,0,SUM(O251-ref!E$4))</f>
        <v>0</v>
      </c>
      <c r="Q251" s="94">
        <f t="shared" si="197"/>
        <v>1.7888888888888888</v>
      </c>
      <c r="S251" s="138"/>
      <c r="T251" s="92"/>
      <c r="U251" s="129"/>
      <c r="V251" s="142">
        <f t="shared" si="193"/>
        <v>0</v>
      </c>
      <c r="W251" s="141" t="str">
        <f>IF(V251="","",IF(SUM(V251-ref!E$38)&gt;0,0,IF(V251=0, "0:00", SUM(V251-ref!E$38))))</f>
        <v>0:00</v>
      </c>
      <c r="X251" s="138"/>
      <c r="Y251" s="92"/>
      <c r="Z251" s="247"/>
      <c r="AA251" s="142">
        <f t="shared" si="198"/>
        <v>0</v>
      </c>
      <c r="AB251" s="246" t="str">
        <f>IF(AA251="","",IF(SUM(AA251-ref!E$38)&gt;0,0,IF(AA251=0, "0:00", SUM(AA251-ref!E$38))))</f>
        <v>0:00</v>
      </c>
      <c r="AC251" s="29"/>
      <c r="AD251" s="106"/>
      <c r="AE251" s="110">
        <f>IF(SUM(Q251-ref!E$11)&lt;0,0,SUM(Q251-ref!E$11))</f>
        <v>0</v>
      </c>
      <c r="AF251" s="77">
        <f t="shared" si="194"/>
        <v>0</v>
      </c>
      <c r="AG251" s="19"/>
      <c r="AQ251"/>
    </row>
    <row r="252" spans="2:43" x14ac:dyDescent="0.25">
      <c r="C252" s="89"/>
      <c r="D252" s="89"/>
      <c r="F252" s="127"/>
      <c r="W252" s="74"/>
      <c r="X252" s="2"/>
      <c r="Z252"/>
      <c r="AA252" s="2"/>
      <c r="AB252" s="2"/>
      <c r="AC252" s="127"/>
      <c r="AQ252"/>
    </row>
    <row r="253" spans="2:43" x14ac:dyDescent="0.25">
      <c r="C253" s="89"/>
      <c r="D253" s="89"/>
      <c r="X253" s="2"/>
      <c r="Z253"/>
      <c r="AA253" s="2"/>
      <c r="AB253" s="2"/>
      <c r="AC253" s="127"/>
      <c r="AQ253"/>
    </row>
    <row r="254" spans="2:43" ht="15.75" thickBot="1" x14ac:dyDescent="0.3">
      <c r="C254" s="89"/>
      <c r="D254" s="89"/>
      <c r="W254" s="74"/>
      <c r="X254" s="2"/>
      <c r="Z254"/>
      <c r="AA254" s="2"/>
      <c r="AB254" s="2"/>
      <c r="AC254" s="127"/>
      <c r="AQ254"/>
    </row>
    <row r="255" spans="2:43" x14ac:dyDescent="0.25">
      <c r="B255" s="78" t="s">
        <v>1</v>
      </c>
      <c r="C255" s="90" t="s">
        <v>20</v>
      </c>
      <c r="D255" s="88"/>
      <c r="E255" s="154">
        <f>DATE(ref!E$2,B259,B257)</f>
        <v>44005</v>
      </c>
      <c r="F255" s="163" t="s">
        <v>20</v>
      </c>
      <c r="G255" s="155">
        <f t="shared" ref="G255:G261" si="199">IF(AND(J255="",H255=""),"",E255+H255)</f>
        <v>44005.383333333331</v>
      </c>
      <c r="H255" s="29">
        <v>0.38333333333333336</v>
      </c>
      <c r="I255" s="23">
        <f>SUM(V255+AA255+AC255)</f>
        <v>3.4027777777777768E-2</v>
      </c>
      <c r="J255" s="29">
        <v>0.7416666666666667</v>
      </c>
      <c r="K255" s="46">
        <f t="shared" ref="K255:K261" si="200">IF(AND(H255="",J255=""),"",E255+J255+(H255&gt;J255))</f>
        <v>44005.741666666669</v>
      </c>
      <c r="L255" s="21">
        <f>IF(OR(F255="télétravail",F255="férié travaillé",F255="travail"),(J255-H255+IF(H255&gt;J255,1)-I255),INDEX(ref!$E$22:'ref'!$E$37,MATCH(F255,gerald3,0)))</f>
        <v>0.32430555555555557</v>
      </c>
      <c r="M255" s="13">
        <f>IF(SUM(L255-ref!E$8)&lt;0,0,SUM(L255-ref!E$8))</f>
        <v>0</v>
      </c>
      <c r="N255" s="252">
        <f>L255-(hs!D254+hs!F254+hs!H254+hs!J254)</f>
        <v>-3.4027777777777768E-2</v>
      </c>
      <c r="O255" s="8">
        <f>IF(OR(F255="férié travaillé",F255="travail",F255="asa",F255="rtt"),J255-H255+IF(H255&gt;J255,1),INDEX(ref!$E$22:'ref'!$E$37,MATCH(F255,gerald2,0)))</f>
        <v>0.35833333333333334</v>
      </c>
      <c r="P255" s="14">
        <f>IF(SUM(O255-ref!E$4)&lt;0,0,SUM(O255-ref!E$4))</f>
        <v>0</v>
      </c>
      <c r="Q255" s="21">
        <f>L255</f>
        <v>0.32430555555555557</v>
      </c>
      <c r="S255" s="136"/>
      <c r="T255" s="92">
        <v>0.52638888888888891</v>
      </c>
      <c r="U255" s="129">
        <v>0.56041666666666667</v>
      </c>
      <c r="V255" s="142">
        <f t="shared" ref="V255:V261" si="201">U255-T255</f>
        <v>3.4027777777777768E-2</v>
      </c>
      <c r="W255" s="141">
        <f>IF(V255="","",IF(SUM(V255-ref!E$38)&gt;0,0,IF(V255=0, "0:00", SUM(V255-ref!E$38))))</f>
        <v>0</v>
      </c>
      <c r="X255" s="136"/>
      <c r="Y255" s="92"/>
      <c r="Z255" s="247"/>
      <c r="AA255" s="142">
        <f>Z255-Y255</f>
        <v>0</v>
      </c>
      <c r="AB255" s="244" t="str">
        <f>IF(AA255="","",IF(SUM(AA255-ref!E$38)&gt;0,0,IF(AA255=0, "0:00", SUM(AA255-ref!E$38))))</f>
        <v>0:00</v>
      </c>
      <c r="AC255" s="29"/>
      <c r="AD255" s="106"/>
      <c r="AE255" s="111">
        <f>SUM(AF255:AF261)</f>
        <v>5</v>
      </c>
      <c r="AF255" s="77">
        <f t="shared" ref="AF255:AF261" si="202">IF(AND(H255&lt;&gt;"",J255&lt;&gt;""),1,0+OR(N(J254)&lt;N(H254),F255="récupération",F255="congé 1 jour",F255="congé 1/2 jour ",F255="congé 5h24",F255="arrêt maladie",F255="arrêt travail",F255="férié ",F255="congé parentale",F255="congé de naissance"))</f>
        <v>1</v>
      </c>
      <c r="AG255" s="19"/>
      <c r="AH255" s="176" t="s">
        <v>71</v>
      </c>
      <c r="AI255" s="54" t="s">
        <v>68</v>
      </c>
      <c r="AJ255" s="177" t="s">
        <v>72</v>
      </c>
      <c r="AK255" s="55" cm="1">
        <f t="array" ref="AK255">IF(ISNUMBER(G256),G256-_xlfn.AGGREGATE(14,6,(K$4:K255&lt;G256)*K$4:K255,1),"")</f>
        <v>0.64027777777664596</v>
      </c>
      <c r="AL255" s="20">
        <f>IF(ISNUMBER(AK255),ABS(IF(SUM(AK255-ref!E$9)&gt;0,0,SUM(AK255-ref!E$9))),"")</f>
        <v>0</v>
      </c>
      <c r="AQ255"/>
    </row>
    <row r="256" spans="2:43" x14ac:dyDescent="0.25">
      <c r="B256" s="79" t="s">
        <v>1</v>
      </c>
      <c r="C256" s="90" t="s">
        <v>20</v>
      </c>
      <c r="D256" s="88"/>
      <c r="E256" s="154">
        <f t="shared" ref="E256:E261" si="203">E255+1</f>
        <v>44006</v>
      </c>
      <c r="F256" s="164" t="s">
        <v>20</v>
      </c>
      <c r="G256" s="155">
        <f t="shared" si="199"/>
        <v>44006.381944444445</v>
      </c>
      <c r="H256" s="29">
        <v>0.38194444444444442</v>
      </c>
      <c r="I256" s="23">
        <f t="shared" ref="I256:I261" si="204">SUM(V256+AA256+AC256)</f>
        <v>4.0972222222222299E-2</v>
      </c>
      <c r="J256" s="29">
        <v>0.7104166666666667</v>
      </c>
      <c r="K256" s="46">
        <f t="shared" si="200"/>
        <v>44006.710416666669</v>
      </c>
      <c r="L256" s="21">
        <f>IF(OR(F256="télétravail",F256="férié travaillé",F256="travail"),(J256-H256+IF(H256&gt;J256,1)-I256),INDEX(ref!$E$22:'ref'!$E$37,MATCH(F256,gerald3,0)))</f>
        <v>0.28749999999999998</v>
      </c>
      <c r="M256" s="13">
        <f>IF(SUM(L256-ref!E$8)&lt;0,0,SUM(L256-ref!E$8))</f>
        <v>0</v>
      </c>
      <c r="N256" s="252">
        <f>L256-(hs!D255+hs!F255+hs!H255+hs!J255)</f>
        <v>-4.0972222222222299E-2</v>
      </c>
      <c r="O256" s="8">
        <f>IF(OR(F256="férié travaillé",F256="travail",F256="asa",F256="rtt"),J256-H256+IF(H256&gt;J256,1),INDEX(ref!$E$22:'ref'!$E$37,MATCH(F256,gerald2,0)))</f>
        <v>0.32847222222222228</v>
      </c>
      <c r="P256" s="14">
        <f>IF(SUM(O256-ref!E$4)&lt;0,0,SUM(O256-ref!E$4))</f>
        <v>0</v>
      </c>
      <c r="Q256" s="24">
        <f t="shared" ref="Q256:Q261" si="205">Q255+L256</f>
        <v>0.61180555555555549</v>
      </c>
      <c r="S256" s="137"/>
      <c r="T256" s="92">
        <v>0.51180555555555551</v>
      </c>
      <c r="U256" s="129">
        <v>0.55277777777777781</v>
      </c>
      <c r="V256" s="142">
        <f t="shared" si="201"/>
        <v>4.0972222222222299E-2</v>
      </c>
      <c r="W256" s="141">
        <f>IF(V256="","",IF(SUM(V256-ref!E$38)&gt;0,0,IF(V256=0, "0:00", SUM(V256-ref!E$38))))</f>
        <v>0</v>
      </c>
      <c r="X256" s="137"/>
      <c r="Y256" s="92"/>
      <c r="Z256" s="247"/>
      <c r="AA256" s="142">
        <f t="shared" ref="AA256:AA261" si="206">Z256-Y256</f>
        <v>0</v>
      </c>
      <c r="AB256" s="245" t="str">
        <f>IF(AA256="","",IF(SUM(AA256-ref!E$38)&gt;0,0,IF(AA256=0, "0:00", SUM(AA256-ref!E$38))))</f>
        <v>0:00</v>
      </c>
      <c r="AC256" s="29"/>
      <c r="AD256" s="106"/>
      <c r="AE256" s="112">
        <f>IF(SUM(AE255-ref!E$7)&lt;0,0,SUM(AE255-ref!E$7))</f>
        <v>0</v>
      </c>
      <c r="AF256" s="77">
        <f t="shared" si="202"/>
        <v>1</v>
      </c>
      <c r="AG256" s="19"/>
      <c r="AH256" s="178" t="s">
        <v>72</v>
      </c>
      <c r="AI256" s="54" t="s">
        <v>68</v>
      </c>
      <c r="AJ256" s="177" t="s">
        <v>73</v>
      </c>
      <c r="AK256" s="55" cm="1">
        <f t="array" ref="AK256">IF(ISNUMBER(G257),G257-_xlfn.AGGREGATE(14,6,(K$4:K256&lt;G257)*K$4:K256,1),"")</f>
        <v>0.73263888889050577</v>
      </c>
      <c r="AL256" s="20">
        <f>IF(ISNUMBER(AK256),ABS(IF(SUM(AK256-ref!E$9)&gt;0,0,SUM(AK256-ref!E$9))),"")</f>
        <v>0</v>
      </c>
      <c r="AQ256"/>
    </row>
    <row r="257" spans="2:43" x14ac:dyDescent="0.25">
      <c r="B257" s="80">
        <v>24</v>
      </c>
      <c r="C257" s="90" t="s">
        <v>20</v>
      </c>
      <c r="D257" s="88"/>
      <c r="E257" s="154">
        <f t="shared" si="203"/>
        <v>44007</v>
      </c>
      <c r="F257" s="164" t="s">
        <v>20</v>
      </c>
      <c r="G257" s="155">
        <f t="shared" si="199"/>
        <v>44007.443055555559</v>
      </c>
      <c r="H257" s="29">
        <v>0.44305555555555554</v>
      </c>
      <c r="I257" s="23">
        <f t="shared" si="204"/>
        <v>0</v>
      </c>
      <c r="J257" s="29">
        <v>0.52361111111111114</v>
      </c>
      <c r="K257" s="46">
        <f t="shared" si="200"/>
        <v>44007.523611111108</v>
      </c>
      <c r="L257" s="21">
        <f>IF(OR(F257="télétravail",F257="férié travaillé",F257="travail"),(J257-H257+IF(H257&gt;J257,1)-I257),INDEX(ref!$E$22:'ref'!$E$37,MATCH(F257,gerald3,0)))</f>
        <v>8.0555555555555602E-2</v>
      </c>
      <c r="M257" s="13">
        <f>IF(SUM(L257-ref!E$8)&lt;0,0,SUM(L257-ref!E$8))</f>
        <v>0</v>
      </c>
      <c r="N257" s="252">
        <f>L257-(hs!D256+hs!F256+hs!H256+hs!J256)</f>
        <v>0</v>
      </c>
      <c r="O257" s="8">
        <f>IF(OR(F257="férié travaillé",F257="travail",F257="asa",F257="rtt"),J257-H257+IF(H257&gt;J257,1),INDEX(ref!$E$22:'ref'!$E$37,MATCH(F257,gerald2,0)))</f>
        <v>8.0555555555555602E-2</v>
      </c>
      <c r="P257" s="14">
        <f>IF(SUM(O257-ref!E$4)&lt;0,0,SUM(O257-ref!E$4))</f>
        <v>0</v>
      </c>
      <c r="Q257" s="24">
        <f t="shared" si="205"/>
        <v>0.69236111111111109</v>
      </c>
      <c r="S257" s="137"/>
      <c r="T257" s="92"/>
      <c r="U257" s="129"/>
      <c r="V257" s="142">
        <f t="shared" si="201"/>
        <v>0</v>
      </c>
      <c r="W257" s="141" t="str">
        <f>IF(V257="","",IF(SUM(V257-ref!E$38)&gt;0,0,IF(V257=0, "0:00", SUM(V257-ref!E$38))))</f>
        <v>0:00</v>
      </c>
      <c r="X257" s="137"/>
      <c r="Y257" s="92"/>
      <c r="Z257" s="247"/>
      <c r="AA257" s="142">
        <f t="shared" si="206"/>
        <v>0</v>
      </c>
      <c r="AB257" s="245" t="str">
        <f>IF(AA257="","",IF(SUM(AA257-ref!E$38)&gt;0,0,IF(AA257=0, "0:00", SUM(AA257-ref!E$38))))</f>
        <v>0:00</v>
      </c>
      <c r="AC257" s="29"/>
      <c r="AD257" s="106"/>
      <c r="AE257" s="113" t="s">
        <v>29</v>
      </c>
      <c r="AF257" s="77">
        <f t="shared" si="202"/>
        <v>1</v>
      </c>
      <c r="AG257" s="19"/>
      <c r="AH257" s="178" t="s">
        <v>73</v>
      </c>
      <c r="AI257" s="54" t="s">
        <v>68</v>
      </c>
      <c r="AJ257" s="177" t="s">
        <v>74</v>
      </c>
      <c r="AK257" s="55" cm="1">
        <f t="array" ref="AK257">IF(ISNUMBER(G258),G258-_xlfn.AGGREGATE(14,6,(K$4:K257&lt;G258)*K$4:K257,1),"")</f>
        <v>0.85347222222480923</v>
      </c>
      <c r="AL257" s="20">
        <f>IF(ISNUMBER(AK257),ABS(IF(SUM(AK257-ref!E$9)&gt;0,0,SUM(AK257-ref!E$9))),"")</f>
        <v>0</v>
      </c>
      <c r="AQ257"/>
    </row>
    <row r="258" spans="2:43" x14ac:dyDescent="0.25">
      <c r="B258" s="79" t="s">
        <v>58</v>
      </c>
      <c r="C258" s="90" t="s">
        <v>20</v>
      </c>
      <c r="D258" s="88"/>
      <c r="E258" s="154">
        <f t="shared" si="203"/>
        <v>44008</v>
      </c>
      <c r="F258" s="164" t="s">
        <v>20</v>
      </c>
      <c r="G258" s="155">
        <f t="shared" si="199"/>
        <v>44008.377083333333</v>
      </c>
      <c r="H258" s="29">
        <v>0.37708333333333333</v>
      </c>
      <c r="I258" s="23">
        <f t="shared" si="204"/>
        <v>3.3333333333333437E-2</v>
      </c>
      <c r="J258" s="29">
        <v>0.92291666666666672</v>
      </c>
      <c r="K258" s="46">
        <f t="shared" si="200"/>
        <v>44008.92291666667</v>
      </c>
      <c r="L258" s="21">
        <f>IF(OR(F258="télétravail",F258="férié travaillé",F258="travail"),(J258-H258+IF(H258&gt;J258,1)-I258),INDEX(ref!$E$22:'ref'!$E$37,MATCH(F258,gerald3,0)))</f>
        <v>0.51249999999999996</v>
      </c>
      <c r="M258" s="13">
        <f>IF(SUM(L258-ref!E$8)&lt;0,0,SUM(L258-ref!E$8))</f>
        <v>9.583333333333327E-2</v>
      </c>
      <c r="N258" s="252">
        <f>L258-(hs!D257+hs!F257+hs!H257+hs!J257)</f>
        <v>-0.18541666666666679</v>
      </c>
      <c r="O258" s="8">
        <f>IF(OR(F258="férié travaillé",F258="travail",F258="asa",F258="rtt"),J258-H258+IF(H258&gt;J258,1),INDEX(ref!$E$22:'ref'!$E$37,MATCH(F258,gerald2,0)))</f>
        <v>0.54583333333333339</v>
      </c>
      <c r="P258" s="14">
        <f>IF(SUM(O258-ref!E$4)&lt;0,0,SUM(O258-ref!E$4))</f>
        <v>4.5833333333333393E-2</v>
      </c>
      <c r="Q258" s="24">
        <f t="shared" si="205"/>
        <v>1.2048611111111112</v>
      </c>
      <c r="S258" s="137"/>
      <c r="T258" s="92">
        <v>0.54652777777777772</v>
      </c>
      <c r="U258" s="129">
        <v>0.57986111111111116</v>
      </c>
      <c r="V258" s="142">
        <f t="shared" si="201"/>
        <v>3.3333333333333437E-2</v>
      </c>
      <c r="W258" s="141">
        <f>IF(V258="","",IF(SUM(V258-ref!E$38)&gt;0,0,IF(V258=0, "0:00", SUM(V258-ref!E$38))))</f>
        <v>0</v>
      </c>
      <c r="X258" s="137"/>
      <c r="Y258" s="92"/>
      <c r="Z258" s="247"/>
      <c r="AA258" s="142">
        <f t="shared" si="206"/>
        <v>0</v>
      </c>
      <c r="AB258" s="245" t="str">
        <f>IF(AA258="","",IF(SUM(AA258-ref!E$38)&gt;0,0,IF(AA258=0, "0:00", SUM(AA258-ref!E$38))))</f>
        <v>0:00</v>
      </c>
      <c r="AC258" s="29"/>
      <c r="AD258" s="106"/>
      <c r="AE258" s="114">
        <f>Q261</f>
        <v>1.4409722222222223</v>
      </c>
      <c r="AF258" s="77">
        <f t="shared" si="202"/>
        <v>1</v>
      </c>
      <c r="AG258" s="19"/>
      <c r="AH258" s="178" t="s">
        <v>74</v>
      </c>
      <c r="AI258" s="54" t="s">
        <v>68</v>
      </c>
      <c r="AJ258" s="177" t="s">
        <v>75</v>
      </c>
      <c r="AK258" s="55" cm="1">
        <f t="array" ref="AK258">IF(ISNUMBER(G259),G259-_xlfn.AGGREGATE(14,6,(K$4:K258&lt;G259)*K$4:K258,1),"")</f>
        <v>0.50347222221898846</v>
      </c>
      <c r="AL258" s="20">
        <f>IF(ISNUMBER(AK258),ABS(IF(SUM(AK258-ref!E$9)&gt;0,0,SUM(AK258-ref!E$9))),"")</f>
        <v>0</v>
      </c>
      <c r="AQ258"/>
    </row>
    <row r="259" spans="2:43" x14ac:dyDescent="0.25">
      <c r="B259" s="81">
        <v>6</v>
      </c>
      <c r="C259" s="90" t="s">
        <v>20</v>
      </c>
      <c r="D259" s="88"/>
      <c r="E259" s="154">
        <f t="shared" si="203"/>
        <v>44009</v>
      </c>
      <c r="F259" s="164" t="s">
        <v>20</v>
      </c>
      <c r="G259" s="155">
        <f t="shared" si="199"/>
        <v>44009.426388888889</v>
      </c>
      <c r="H259" s="29">
        <v>0.42638888888888887</v>
      </c>
      <c r="I259" s="23">
        <f t="shared" si="204"/>
        <v>3.7499999999999978E-2</v>
      </c>
      <c r="J259" s="29">
        <v>0.7</v>
      </c>
      <c r="K259" s="46">
        <f t="shared" si="200"/>
        <v>44009.7</v>
      </c>
      <c r="L259" s="21">
        <f>IF(OR(F259="télétravail",F259="férié travaillé",F259="travail"),(J259-H259+IF(H259&gt;J259,1)-I259),INDEX(ref!$E$22:'ref'!$E$37,MATCH(F259,gerald3,0)))</f>
        <v>0.2361111111111111</v>
      </c>
      <c r="M259" s="13">
        <f>IF(SUM(L259-ref!E$8)&lt;0,0,SUM(L259-ref!E$8))</f>
        <v>0</v>
      </c>
      <c r="N259" s="252">
        <f>L259-(hs!D258+hs!F258+hs!H258+hs!J258)</f>
        <v>-3.7499999999999978E-2</v>
      </c>
      <c r="O259" s="8">
        <f>IF(OR(F259="férié travaillé",F259="travail",F259="asa",F259="rtt"),J259-H259+IF(H259&gt;J259,1),INDEX(ref!$E$22:'ref'!$E$37,MATCH(F259,gerald2,0)))</f>
        <v>0.27361111111111108</v>
      </c>
      <c r="P259" s="14">
        <f>IF(SUM(O259-ref!E$4)&lt;0,0,SUM(O259-ref!E$4))</f>
        <v>0</v>
      </c>
      <c r="Q259" s="24">
        <f t="shared" si="205"/>
        <v>1.4409722222222223</v>
      </c>
      <c r="S259" s="137"/>
      <c r="T259" s="92">
        <v>0.52500000000000002</v>
      </c>
      <c r="U259" s="129">
        <v>0.5625</v>
      </c>
      <c r="V259" s="142">
        <f t="shared" si="201"/>
        <v>3.7499999999999978E-2</v>
      </c>
      <c r="W259" s="141">
        <f>IF(V259="","",IF(SUM(V259-ref!E$38)&gt;0,0,IF(V259=0, "0:00", SUM(V259-ref!E$38))))</f>
        <v>0</v>
      </c>
      <c r="X259" s="137"/>
      <c r="Y259" s="92"/>
      <c r="Z259" s="247"/>
      <c r="AA259" s="142">
        <f t="shared" si="206"/>
        <v>0</v>
      </c>
      <c r="AB259" s="245" t="str">
        <f>IF(AA259="","",IF(SUM(AA259-ref!E$38)&gt;0,0,IF(AA259=0, "0:00", SUM(AA259-ref!E$38))))</f>
        <v>0:00</v>
      </c>
      <c r="AC259" s="29"/>
      <c r="AD259" s="106"/>
      <c r="AE259" s="117" t="s">
        <v>47</v>
      </c>
      <c r="AF259" s="77">
        <f t="shared" si="202"/>
        <v>1</v>
      </c>
      <c r="AG259" s="19"/>
      <c r="AH259" s="178" t="s">
        <v>75</v>
      </c>
      <c r="AI259" s="54" t="s">
        <v>68</v>
      </c>
      <c r="AJ259" s="177" t="s">
        <v>76</v>
      </c>
      <c r="AK259" s="55" t="str" cm="1">
        <f t="array" ref="AK259">IF(ISNUMBER(G260),G260-_xlfn.AGGREGATE(14,6,(K$4:K259&lt;G260)*K$4:K259,1),"")</f>
        <v/>
      </c>
      <c r="AL259" s="20" t="str">
        <f>IF(ISNUMBER(AK259),ABS(IF(SUM(AK259-ref!E$9)&gt;0,0,SUM(AK259-ref!E$9))),"")</f>
        <v/>
      </c>
      <c r="AQ259"/>
    </row>
    <row r="260" spans="2:43" ht="15.75" thickBot="1" x14ac:dyDescent="0.3">
      <c r="B260"/>
      <c r="C260" s="89"/>
      <c r="D260" s="89"/>
      <c r="E260" s="154">
        <f t="shared" si="203"/>
        <v>44010</v>
      </c>
      <c r="F260" s="164" t="s">
        <v>19</v>
      </c>
      <c r="G260" s="155" t="str">
        <f t="shared" si="199"/>
        <v/>
      </c>
      <c r="H260" s="29"/>
      <c r="I260" s="23">
        <f t="shared" si="204"/>
        <v>0</v>
      </c>
      <c r="J260" s="29"/>
      <c r="K260" s="46" t="str">
        <f t="shared" si="200"/>
        <v/>
      </c>
      <c r="L260" s="21">
        <f>IF(OR(F260="télétravail",F260="férié travaillé",F260="travail"),(J260-H260+IF(H260&gt;J260,1)-I260),INDEX(ref!$E$22:'ref'!$E$37,MATCH(F260,gerald3,0)))</f>
        <v>0</v>
      </c>
      <c r="M260" s="13">
        <f>IF(SUM(L260-ref!E$8)&lt;0,0,SUM(L260-ref!E$8))</f>
        <v>0</v>
      </c>
      <c r="N260" s="252">
        <f>L260-(hs!D259+hs!F259+hs!H259+hs!J259)</f>
        <v>0</v>
      </c>
      <c r="O260" s="8">
        <f>IF(OR(F260="férié travaillé",F260="travail",F260="asa",F260="rtt"),J260-H260+IF(H260&gt;J260,1),INDEX(ref!$E$22:'ref'!$E$37,MATCH(F260,gerald2,0)))</f>
        <v>0</v>
      </c>
      <c r="P260" s="14">
        <f>IF(SUM(O260-ref!E$4)&lt;0,0,SUM(O260-ref!E$4))</f>
        <v>0</v>
      </c>
      <c r="Q260" s="97">
        <f t="shared" si="205"/>
        <v>1.4409722222222223</v>
      </c>
      <c r="S260" s="137"/>
      <c r="T260" s="92"/>
      <c r="U260" s="129"/>
      <c r="V260" s="142">
        <f t="shared" si="201"/>
        <v>0</v>
      </c>
      <c r="W260" s="141" t="str">
        <f>IF(V260="","",IF(SUM(V260-ref!E$38)&gt;0,0,IF(V260=0, "0:00", SUM(V260-ref!E$38))))</f>
        <v>0:00</v>
      </c>
      <c r="X260" s="137"/>
      <c r="Y260" s="92"/>
      <c r="Z260" s="247"/>
      <c r="AA260" s="142">
        <f t="shared" si="206"/>
        <v>0</v>
      </c>
      <c r="AB260" s="245" t="str">
        <f>IF(AA260="","",IF(SUM(AA260-ref!E$38)&gt;0,0,IF(AA260=0, "0:00", SUM(AA260-ref!E$38))))</f>
        <v>0:00</v>
      </c>
      <c r="AC260" s="29"/>
      <c r="AD260" s="106"/>
      <c r="AE260" s="118">
        <f>ref!E$11</f>
        <v>2</v>
      </c>
      <c r="AF260" s="77">
        <f t="shared" si="202"/>
        <v>0</v>
      </c>
      <c r="AG260" s="19"/>
      <c r="AH260" s="178" t="s">
        <v>76</v>
      </c>
      <c r="AI260" s="54" t="s">
        <v>68</v>
      </c>
      <c r="AJ260" s="177" t="s">
        <v>77</v>
      </c>
      <c r="AK260" s="55" t="str" cm="1">
        <f t="array" ref="AK260">IF(ISNUMBER(G261),G261-_xlfn.AGGREGATE(14,6,(K$4:K260&lt;G261)*K$4:K260,1),"")</f>
        <v/>
      </c>
      <c r="AL260" s="20" t="str">
        <f>IF(ISNUMBER(AK260),ABS(IF(SUM(AK260-ref!E$9)&gt;0,0,SUM(AK260-ref!E$9))),"")</f>
        <v/>
      </c>
      <c r="AQ260"/>
    </row>
    <row r="261" spans="2:43" ht="15.75" thickBot="1" x14ac:dyDescent="0.3">
      <c r="B261"/>
      <c r="C261" s="89"/>
      <c r="D261" s="89"/>
      <c r="E261" s="154">
        <f t="shared" si="203"/>
        <v>44011</v>
      </c>
      <c r="F261" s="165" t="s">
        <v>19</v>
      </c>
      <c r="G261" s="155" t="str">
        <f t="shared" si="199"/>
        <v/>
      </c>
      <c r="H261" s="29"/>
      <c r="I261" s="23">
        <f t="shared" si="204"/>
        <v>0</v>
      </c>
      <c r="J261" s="29"/>
      <c r="K261" s="46" t="str">
        <f t="shared" si="200"/>
        <v/>
      </c>
      <c r="L261" s="21">
        <f>IF(OR(F261="télétravail",F261="férié travaillé",F261="travail"),(J261-H261+IF(H261&gt;J261,1)-I261),INDEX(ref!$E$22:'ref'!$E$37,MATCH(F261,gerald3,0)))</f>
        <v>0</v>
      </c>
      <c r="M261" s="13">
        <f>IF(SUM(L261-ref!E$8)&lt;0,0,SUM(L261-ref!E$8))</f>
        <v>0</v>
      </c>
      <c r="N261" s="252">
        <f>L261-(hs!D260+hs!F260+hs!H260+hs!J260)</f>
        <v>0</v>
      </c>
      <c r="O261" s="8">
        <f>IF(OR(F261="férié travaillé",F261="travail",F261="asa",F261="rtt"),J261-H261+IF(H261&gt;J261,1),INDEX(ref!$E$22:'ref'!$E$37,MATCH(F261,gerald2,0)))</f>
        <v>0</v>
      </c>
      <c r="P261" s="14">
        <f>IF(SUM(O261-ref!E$4)&lt;0,0,SUM(O261-ref!E$4))</f>
        <v>0</v>
      </c>
      <c r="Q261" s="94">
        <f t="shared" si="205"/>
        <v>1.4409722222222223</v>
      </c>
      <c r="S261" s="138"/>
      <c r="T261" s="92"/>
      <c r="U261" s="129"/>
      <c r="V261" s="142">
        <f t="shared" si="201"/>
        <v>0</v>
      </c>
      <c r="W261" s="141" t="str">
        <f>IF(V261="","",IF(SUM(V261-ref!E$38)&gt;0,0,IF(V261=0, "0:00", SUM(V261-ref!E$38))))</f>
        <v>0:00</v>
      </c>
      <c r="X261" s="138"/>
      <c r="Y261" s="92"/>
      <c r="Z261" s="247"/>
      <c r="AA261" s="142">
        <f t="shared" si="206"/>
        <v>0</v>
      </c>
      <c r="AB261" s="246" t="str">
        <f>IF(AA261="","",IF(SUM(AA261-ref!E$38)&gt;0,0,IF(AA261=0, "0:00", SUM(AA261-ref!E$38))))</f>
        <v>0:00</v>
      </c>
      <c r="AC261" s="29"/>
      <c r="AD261" s="106"/>
      <c r="AE261" s="110">
        <f>IF(SUM(Q261-ref!E$11)&lt;0,0,SUM(Q261-ref!E$11))</f>
        <v>0</v>
      </c>
      <c r="AF261" s="77">
        <f t="shared" si="202"/>
        <v>0</v>
      </c>
      <c r="AG261" s="19"/>
      <c r="AQ261"/>
    </row>
    <row r="262" spans="2:43" x14ac:dyDescent="0.25">
      <c r="C262" s="89"/>
      <c r="D262" s="89"/>
      <c r="W262" s="74"/>
      <c r="X262" s="2"/>
      <c r="Z262"/>
      <c r="AA262" s="2"/>
      <c r="AB262" s="2"/>
      <c r="AC262" s="127"/>
      <c r="AQ262"/>
    </row>
    <row r="263" spans="2:43" x14ac:dyDescent="0.25">
      <c r="C263" s="89"/>
      <c r="D263" s="89"/>
      <c r="X263" s="2"/>
      <c r="Z263"/>
      <c r="AA263" s="2"/>
      <c r="AB263" s="2"/>
      <c r="AC263" s="127"/>
      <c r="AQ263"/>
    </row>
    <row r="264" spans="2:43" ht="15.75" thickBot="1" x14ac:dyDescent="0.3">
      <c r="C264" s="89"/>
      <c r="D264" s="89"/>
      <c r="W264" s="74"/>
      <c r="X264" s="2"/>
      <c r="Z264"/>
      <c r="AA264" s="2"/>
      <c r="AB264" s="2"/>
      <c r="AC264" s="127"/>
      <c r="AQ264"/>
    </row>
    <row r="265" spans="2:43" x14ac:dyDescent="0.25">
      <c r="B265" s="78" t="s">
        <v>1</v>
      </c>
      <c r="C265" s="90" t="s">
        <v>20</v>
      </c>
      <c r="D265" s="88"/>
      <c r="E265" s="154">
        <f>DATE(ref!E$2,B269,B267)</f>
        <v>44012</v>
      </c>
      <c r="F265" s="163" t="s">
        <v>20</v>
      </c>
      <c r="G265" s="155">
        <f t="shared" ref="G265:G271" si="207">IF(AND(J265="",H265=""),"",E265+H265)</f>
        <v>44012.375</v>
      </c>
      <c r="H265" s="29">
        <v>0.375</v>
      </c>
      <c r="I265" s="23">
        <f>SUM(V265+AA265+AC265)</f>
        <v>3.125E-2</v>
      </c>
      <c r="J265" s="29">
        <v>0.72777777777777775</v>
      </c>
      <c r="K265" s="46">
        <f t="shared" ref="K265:K271" si="208">IF(AND(H265="",J265=""),"",E265+J265+(H265&gt;J265))</f>
        <v>44012.727777777778</v>
      </c>
      <c r="L265" s="21">
        <f>IF(OR(F265="télétravail",F265="férié travaillé",F265="travail"),(J265-H265+IF(H265&gt;J265,1)-I265),INDEX(ref!$E$22:'ref'!$E$37,MATCH(F265,gerald3,0)))</f>
        <v>0.32152777777777775</v>
      </c>
      <c r="M265" s="13">
        <f>IF(SUM(L265-ref!E$8)&lt;0,0,SUM(L265-ref!E$8))</f>
        <v>0</v>
      </c>
      <c r="N265" s="252">
        <f>L265-(hs!D264+hs!F264+hs!H264+hs!J264)</f>
        <v>-3.125E-2</v>
      </c>
      <c r="O265" s="8">
        <f>IF(OR(F265="férié travaillé",F265="travail",F265="asa",F265="rtt"),J265-H265+IF(H265&gt;J265,1),INDEX(ref!$E$22:'ref'!$E$37,MATCH(F265,gerald2,0)))</f>
        <v>0.35277777777777775</v>
      </c>
      <c r="P265" s="14">
        <f>IF(SUM(O265-ref!E$4)&lt;0,0,SUM(O265-ref!E$4))</f>
        <v>0</v>
      </c>
      <c r="Q265" s="21">
        <f>L265</f>
        <v>0.32152777777777775</v>
      </c>
      <c r="S265" s="136"/>
      <c r="T265" s="92">
        <v>0.54166666666666663</v>
      </c>
      <c r="U265" s="129">
        <v>0.57291666666666663</v>
      </c>
      <c r="V265" s="142">
        <f t="shared" ref="V265:V271" si="209">U265-T265</f>
        <v>3.125E-2</v>
      </c>
      <c r="W265" s="141">
        <f>IF(V265="","",IF(SUM(V265-ref!E$38)&gt;0,0,IF(V265=0, "0:00", SUM(V265-ref!E$38))))</f>
        <v>0</v>
      </c>
      <c r="X265" s="136"/>
      <c r="Y265" s="92"/>
      <c r="Z265" s="247"/>
      <c r="AA265" s="142">
        <f>Z265-Y265</f>
        <v>0</v>
      </c>
      <c r="AB265" s="244" t="str">
        <f>IF(AA265="","",IF(SUM(AA265-ref!E$38)&gt;0,0,IF(AA265=0, "0:00", SUM(AA265-ref!E$38))))</f>
        <v>0:00</v>
      </c>
      <c r="AC265" s="29"/>
      <c r="AD265" s="106"/>
      <c r="AE265" s="111">
        <f>SUM(AF265:AF271)</f>
        <v>5</v>
      </c>
      <c r="AF265" s="77">
        <f t="shared" ref="AF265:AF271" si="210">IF(AND(H265&lt;&gt;"",J265&lt;&gt;""),1,0+OR(N(J264)&lt;N(H264),F265="récupération",F265="congé 1 jour",F265="congé 1/2 jour ",F265="congé 5h24",F265="arrêt maladie",F265="arrêt travail",F265="férié ",F265="congé parentale",F265="congé de naissance"))</f>
        <v>1</v>
      </c>
      <c r="AG265" s="19"/>
      <c r="AH265" s="176" t="s">
        <v>71</v>
      </c>
      <c r="AI265" s="54" t="s">
        <v>68</v>
      </c>
      <c r="AJ265" s="177" t="s">
        <v>72</v>
      </c>
      <c r="AK265" s="55" cm="1">
        <f t="array" ref="AK265">IF(ISNUMBER(G266),G266-_xlfn.AGGREGATE(14,6,(K$4:K265&lt;G266)*K$4:K265,1),"")</f>
        <v>0.65902777777955635</v>
      </c>
      <c r="AL265" s="20">
        <f>IF(ISNUMBER(AK265),ABS(IF(SUM(AK265-ref!E$9)&gt;0,0,SUM(AK265-ref!E$9))),"")</f>
        <v>0</v>
      </c>
      <c r="AQ265"/>
    </row>
    <row r="266" spans="2:43" x14ac:dyDescent="0.25">
      <c r="B266" s="79" t="s">
        <v>1</v>
      </c>
      <c r="C266" s="90" t="s">
        <v>20</v>
      </c>
      <c r="D266" s="88"/>
      <c r="E266" s="154">
        <f t="shared" ref="E266:E271" si="211">E265+1</f>
        <v>44013</v>
      </c>
      <c r="F266" s="164" t="s">
        <v>20</v>
      </c>
      <c r="G266" s="155">
        <f t="shared" si="207"/>
        <v>44013.386805555558</v>
      </c>
      <c r="H266" s="29">
        <v>0.38680555555555557</v>
      </c>
      <c r="I266" s="23">
        <f t="shared" ref="I266:I271" si="212">SUM(V266+AA266+AC266)</f>
        <v>4.3055555555555514E-2</v>
      </c>
      <c r="J266" s="29">
        <v>0.72499999999999998</v>
      </c>
      <c r="K266" s="46">
        <f t="shared" si="208"/>
        <v>44013.724999999999</v>
      </c>
      <c r="L266" s="21">
        <f>IF(OR(F266="télétravail",F266="férié travaillé",F266="travail"),(J266-H266+IF(H266&gt;J266,1)-I266),INDEX(ref!$E$22:'ref'!$E$37,MATCH(F266,gerald3,0)))</f>
        <v>0.2951388888888889</v>
      </c>
      <c r="M266" s="13">
        <f>IF(SUM(L266-ref!E$8)&lt;0,0,SUM(L266-ref!E$8))</f>
        <v>0</v>
      </c>
      <c r="N266" s="252">
        <f>L266-(hs!D265+hs!F265+hs!H265+hs!J265)</f>
        <v>-4.3055555555555514E-2</v>
      </c>
      <c r="O266" s="8">
        <f>IF(OR(F266="férié travaillé",F266="travail",F266="asa",F266="rtt"),J266-H266+IF(H266&gt;J266,1),INDEX(ref!$E$22:'ref'!$E$37,MATCH(F266,gerald2,0)))</f>
        <v>0.33819444444444441</v>
      </c>
      <c r="P266" s="14">
        <f>IF(SUM(O266-ref!E$4)&lt;0,0,SUM(O266-ref!E$4))</f>
        <v>0</v>
      </c>
      <c r="Q266" s="24">
        <f t="shared" ref="Q266:Q271" si="213">Q265+L266</f>
        <v>0.6166666666666667</v>
      </c>
      <c r="S266" s="137"/>
      <c r="T266" s="92">
        <v>0.52361111111111114</v>
      </c>
      <c r="U266" s="129">
        <v>0.56666666666666665</v>
      </c>
      <c r="V266" s="142">
        <f t="shared" si="209"/>
        <v>4.3055555555555514E-2</v>
      </c>
      <c r="W266" s="141">
        <f>IF(V266="","",IF(SUM(V266-ref!E$38)&gt;0,0,IF(V266=0, "0:00", SUM(V266-ref!E$38))))</f>
        <v>0</v>
      </c>
      <c r="X266" s="137"/>
      <c r="Y266" s="92"/>
      <c r="Z266" s="247"/>
      <c r="AA266" s="142">
        <f t="shared" ref="AA266:AA271" si="214">Z266-Y266</f>
        <v>0</v>
      </c>
      <c r="AB266" s="245" t="str">
        <f>IF(AA266="","",IF(SUM(AA266-ref!E$38)&gt;0,0,IF(AA266=0, "0:00", SUM(AA266-ref!E$38))))</f>
        <v>0:00</v>
      </c>
      <c r="AC266" s="29"/>
      <c r="AD266" s="106"/>
      <c r="AE266" s="112">
        <f>IF(SUM(AE265-ref!E$7)&lt;0,0,SUM(AE265-ref!E$7))</f>
        <v>0</v>
      </c>
      <c r="AF266" s="77">
        <f t="shared" si="210"/>
        <v>1</v>
      </c>
      <c r="AG266" s="19"/>
      <c r="AH266" s="178" t="s">
        <v>72</v>
      </c>
      <c r="AI266" s="54" t="s">
        <v>68</v>
      </c>
      <c r="AJ266" s="177" t="s">
        <v>73</v>
      </c>
      <c r="AK266" s="55" cm="1">
        <f t="array" ref="AK266">IF(ISNUMBER(G267),G267-_xlfn.AGGREGATE(14,6,(K$4:K266&lt;G267)*K$4:K266,1),"")</f>
        <v>0.65347222222044365</v>
      </c>
      <c r="AL266" s="20">
        <f>IF(ISNUMBER(AK266),ABS(IF(SUM(AK266-ref!E$9)&gt;0,0,SUM(AK266-ref!E$9))),"")</f>
        <v>0</v>
      </c>
      <c r="AQ266"/>
    </row>
    <row r="267" spans="2:43" x14ac:dyDescent="0.25">
      <c r="B267" s="80">
        <v>1</v>
      </c>
      <c r="C267" s="90" t="s">
        <v>20</v>
      </c>
      <c r="D267" s="88"/>
      <c r="E267" s="154">
        <f t="shared" si="211"/>
        <v>44014</v>
      </c>
      <c r="F267" s="164" t="s">
        <v>20</v>
      </c>
      <c r="G267" s="155">
        <f t="shared" si="207"/>
        <v>44014.378472222219</v>
      </c>
      <c r="H267" s="29">
        <v>0.37847222222222221</v>
      </c>
      <c r="I267" s="23">
        <f t="shared" si="212"/>
        <v>3.472222222222221E-2</v>
      </c>
      <c r="J267" s="29">
        <v>0.7104166666666667</v>
      </c>
      <c r="K267" s="46">
        <f t="shared" si="208"/>
        <v>44014.710416666669</v>
      </c>
      <c r="L267" s="21">
        <f>IF(OR(F267="télétravail",F267="férié travaillé",F267="travail"),(J267-H267+IF(H267&gt;J267,1)-I267),INDEX(ref!$E$22:'ref'!$E$37,MATCH(F267,gerald3,0)))</f>
        <v>0.29722222222222228</v>
      </c>
      <c r="M267" s="13">
        <f>IF(SUM(L267-ref!E$8)&lt;0,0,SUM(L267-ref!E$8))</f>
        <v>0</v>
      </c>
      <c r="N267" s="252">
        <f>L267-(hs!D266+hs!F266+hs!H266+hs!J266)</f>
        <v>-3.472222222222221E-2</v>
      </c>
      <c r="O267" s="8">
        <f>IF(OR(F267="férié travaillé",F267="travail",F267="asa",F267="rtt"),J267-H267+IF(H267&gt;J267,1),INDEX(ref!$E$22:'ref'!$E$37,MATCH(F267,gerald2,0)))</f>
        <v>0.33194444444444449</v>
      </c>
      <c r="P267" s="14">
        <f>IF(SUM(O267-ref!E$4)&lt;0,0,SUM(O267-ref!E$4))</f>
        <v>0</v>
      </c>
      <c r="Q267" s="24">
        <f t="shared" si="213"/>
        <v>0.91388888888888897</v>
      </c>
      <c r="S267" s="137"/>
      <c r="T267" s="92">
        <v>0.53125</v>
      </c>
      <c r="U267" s="129">
        <v>0.56597222222222221</v>
      </c>
      <c r="V267" s="142">
        <f t="shared" si="209"/>
        <v>3.472222222222221E-2</v>
      </c>
      <c r="W267" s="141">
        <f>IF(V267="","",IF(SUM(V267-ref!E$38)&gt;0,0,IF(V267=0, "0:00", SUM(V267-ref!E$38))))</f>
        <v>0</v>
      </c>
      <c r="X267" s="137"/>
      <c r="Y267" s="92"/>
      <c r="Z267" s="247"/>
      <c r="AA267" s="142">
        <f t="shared" si="214"/>
        <v>0</v>
      </c>
      <c r="AB267" s="245" t="str">
        <f>IF(AA267="","",IF(SUM(AA267-ref!E$38)&gt;0,0,IF(AA267=0, "0:00", SUM(AA267-ref!E$38))))</f>
        <v>0:00</v>
      </c>
      <c r="AC267" s="29"/>
      <c r="AD267" s="106"/>
      <c r="AE267" s="113" t="s">
        <v>29</v>
      </c>
      <c r="AF267" s="77">
        <f t="shared" si="210"/>
        <v>1</v>
      </c>
      <c r="AG267" s="19"/>
      <c r="AH267" s="178" t="s">
        <v>73</v>
      </c>
      <c r="AI267" s="54" t="s">
        <v>68</v>
      </c>
      <c r="AJ267" s="177" t="s">
        <v>74</v>
      </c>
      <c r="AK267" s="55" cm="1">
        <f t="array" ref="AK267">IF(ISNUMBER(G268),G268-_xlfn.AGGREGATE(14,6,(K$4:K267&lt;G268)*K$4:K267,1),"")</f>
        <v>0.663888888884685</v>
      </c>
      <c r="AL267" s="20">
        <f>IF(ISNUMBER(AK267),ABS(IF(SUM(AK267-ref!E$9)&gt;0,0,SUM(AK267-ref!E$9))),"")</f>
        <v>0</v>
      </c>
      <c r="AQ267"/>
    </row>
    <row r="268" spans="2:43" x14ac:dyDescent="0.25">
      <c r="B268" s="79" t="s">
        <v>58</v>
      </c>
      <c r="C268" s="90" t="s">
        <v>20</v>
      </c>
      <c r="D268" s="88"/>
      <c r="E268" s="154">
        <f t="shared" si="211"/>
        <v>44015</v>
      </c>
      <c r="F268" s="164" t="s">
        <v>20</v>
      </c>
      <c r="G268" s="155">
        <f t="shared" si="207"/>
        <v>44015.374305555553</v>
      </c>
      <c r="H268" s="29">
        <v>0.37430555555555556</v>
      </c>
      <c r="I268" s="23">
        <f t="shared" si="212"/>
        <v>4.166666666666663E-2</v>
      </c>
      <c r="J268" s="29">
        <v>0.7319444444444444</v>
      </c>
      <c r="K268" s="46">
        <f t="shared" si="208"/>
        <v>44015.731944444444</v>
      </c>
      <c r="L268" s="21">
        <f>IF(OR(F268="télétravail",F268="férié travaillé",F268="travail"),(J268-H268+IF(H268&gt;J268,1)-I268),INDEX(ref!$E$22:'ref'!$E$37,MATCH(F268,gerald3,0)))</f>
        <v>0.31597222222222221</v>
      </c>
      <c r="M268" s="13">
        <f>IF(SUM(L268-ref!E$8)&lt;0,0,SUM(L268-ref!E$8))</f>
        <v>0</v>
      </c>
      <c r="N268" s="252">
        <f>L268-(hs!D267+hs!F267+hs!H267+hs!J267)</f>
        <v>-4.166666666666663E-2</v>
      </c>
      <c r="O268" s="8">
        <f>IF(OR(F268="férié travaillé",F268="travail",F268="asa",F268="rtt"),J268-H268+IF(H268&gt;J268,1),INDEX(ref!$E$22:'ref'!$E$37,MATCH(F268,gerald2,0)))</f>
        <v>0.35763888888888884</v>
      </c>
      <c r="P268" s="14">
        <f>IF(SUM(O268-ref!E$4)&lt;0,0,SUM(O268-ref!E$4))</f>
        <v>0</v>
      </c>
      <c r="Q268" s="24">
        <f t="shared" si="213"/>
        <v>1.2298611111111111</v>
      </c>
      <c r="S268" s="137"/>
      <c r="T268" s="92">
        <v>0.52083333333333337</v>
      </c>
      <c r="U268" s="129">
        <v>0.5625</v>
      </c>
      <c r="V268" s="142">
        <f t="shared" si="209"/>
        <v>4.166666666666663E-2</v>
      </c>
      <c r="W268" s="141">
        <f>IF(V268="","",IF(SUM(V268-ref!E$38)&gt;0,0,IF(V268=0, "0:00", SUM(V268-ref!E$38))))</f>
        <v>0</v>
      </c>
      <c r="X268" s="137"/>
      <c r="Y268" s="92"/>
      <c r="Z268" s="247"/>
      <c r="AA268" s="142">
        <f t="shared" si="214"/>
        <v>0</v>
      </c>
      <c r="AB268" s="245" t="str">
        <f>IF(AA268="","",IF(SUM(AA268-ref!E$38)&gt;0,0,IF(AA268=0, "0:00", SUM(AA268-ref!E$38))))</f>
        <v>0:00</v>
      </c>
      <c r="AC268" s="29"/>
      <c r="AD268" s="106"/>
      <c r="AE268" s="114">
        <f>Q271</f>
        <v>1.5319444444444446</v>
      </c>
      <c r="AF268" s="77">
        <f t="shared" si="210"/>
        <v>1</v>
      </c>
      <c r="AG268" s="19"/>
      <c r="AH268" s="178" t="s">
        <v>74</v>
      </c>
      <c r="AI268" s="54" t="s">
        <v>68</v>
      </c>
      <c r="AJ268" s="177" t="s">
        <v>75</v>
      </c>
      <c r="AK268" s="55" cm="1">
        <f t="array" ref="AK268">IF(ISNUMBER(G269),G269-_xlfn.AGGREGATE(14,6,(K$4:K268&lt;G269)*K$4:K268,1),"")</f>
        <v>0.64305555555620231</v>
      </c>
      <c r="AL268" s="20">
        <f>IF(ISNUMBER(AK268),ABS(IF(SUM(AK268-ref!E$9)&gt;0,0,SUM(AK268-ref!E$9))),"")</f>
        <v>0</v>
      </c>
      <c r="AQ268"/>
    </row>
    <row r="269" spans="2:43" x14ac:dyDescent="0.25">
      <c r="B269" s="81">
        <v>7</v>
      </c>
      <c r="C269" s="90" t="s">
        <v>20</v>
      </c>
      <c r="D269" s="88"/>
      <c r="E269" s="154">
        <f t="shared" si="211"/>
        <v>44016</v>
      </c>
      <c r="F269" s="164" t="s">
        <v>20</v>
      </c>
      <c r="G269" s="155">
        <f t="shared" si="207"/>
        <v>44016.375</v>
      </c>
      <c r="H269" s="29">
        <v>0.375</v>
      </c>
      <c r="I269" s="23">
        <f t="shared" si="212"/>
        <v>3.3333333333333326E-2</v>
      </c>
      <c r="J269" s="29">
        <v>0.7104166666666667</v>
      </c>
      <c r="K269" s="46">
        <f t="shared" si="208"/>
        <v>44016.710416666669</v>
      </c>
      <c r="L269" s="21">
        <f>IF(OR(F269="télétravail",F269="férié travaillé",F269="travail"),(J269-H269+IF(H269&gt;J269,1)-I269),INDEX(ref!$E$22:'ref'!$E$37,MATCH(F269,gerald3,0)))</f>
        <v>0.30208333333333337</v>
      </c>
      <c r="M269" s="13">
        <f>IF(SUM(L269-ref!E$8)&lt;0,0,SUM(L269-ref!E$8))</f>
        <v>0</v>
      </c>
      <c r="N269" s="252">
        <f>L269-(hs!D268+hs!F268+hs!H268+hs!J268)</f>
        <v>-3.3333333333333326E-2</v>
      </c>
      <c r="O269" s="8">
        <f>IF(OR(F269="férié travaillé",F269="travail",F269="asa",F269="rtt"),J269-H269+IF(H269&gt;J269,1),INDEX(ref!$E$22:'ref'!$E$37,MATCH(F269,gerald2,0)))</f>
        <v>0.3354166666666667</v>
      </c>
      <c r="P269" s="14">
        <f>IF(SUM(O269-ref!E$4)&lt;0,0,SUM(O269-ref!E$4))</f>
        <v>0</v>
      </c>
      <c r="Q269" s="24">
        <f t="shared" si="213"/>
        <v>1.5319444444444446</v>
      </c>
      <c r="S269" s="137"/>
      <c r="T269" s="92">
        <v>0.5083333333333333</v>
      </c>
      <c r="U269" s="129">
        <v>0.54166666666666663</v>
      </c>
      <c r="V269" s="142">
        <f t="shared" si="209"/>
        <v>3.3333333333333326E-2</v>
      </c>
      <c r="W269" s="141">
        <f>IF(V269="","",IF(SUM(V269-ref!E$38)&gt;0,0,IF(V269=0, "0:00", SUM(V269-ref!E$38))))</f>
        <v>0</v>
      </c>
      <c r="X269" s="137"/>
      <c r="Y269" s="92"/>
      <c r="Z269" s="247"/>
      <c r="AA269" s="142">
        <f t="shared" si="214"/>
        <v>0</v>
      </c>
      <c r="AB269" s="245" t="str">
        <f>IF(AA269="","",IF(SUM(AA269-ref!E$38)&gt;0,0,IF(AA269=0, "0:00", SUM(AA269-ref!E$38))))</f>
        <v>0:00</v>
      </c>
      <c r="AC269" s="29"/>
      <c r="AD269" s="106"/>
      <c r="AE269" s="117" t="s">
        <v>47</v>
      </c>
      <c r="AF269" s="77">
        <f t="shared" si="210"/>
        <v>1</v>
      </c>
      <c r="AG269" s="19"/>
      <c r="AH269" s="178" t="s">
        <v>75</v>
      </c>
      <c r="AI269" s="54" t="s">
        <v>68</v>
      </c>
      <c r="AJ269" s="177" t="s">
        <v>76</v>
      </c>
      <c r="AK269" s="55" t="str" cm="1">
        <f t="array" ref="AK269">IF(ISNUMBER(G270),G270-_xlfn.AGGREGATE(14,6,(K$4:K269&lt;G270)*K$4:K269,1),"")</f>
        <v/>
      </c>
      <c r="AL269" s="20" t="str">
        <f>IF(ISNUMBER(AK269),ABS(IF(SUM(AK269-ref!E$9)&gt;0,0,SUM(AK269-ref!E$9))),"")</f>
        <v/>
      </c>
      <c r="AQ269"/>
    </row>
    <row r="270" spans="2:43" ht="15.75" thickBot="1" x14ac:dyDescent="0.3">
      <c r="B270"/>
      <c r="C270"/>
      <c r="D270"/>
      <c r="E270" s="154">
        <f t="shared" si="211"/>
        <v>44017</v>
      </c>
      <c r="F270" s="164" t="s">
        <v>19</v>
      </c>
      <c r="G270" s="155" t="str">
        <f t="shared" si="207"/>
        <v/>
      </c>
      <c r="H270" s="29"/>
      <c r="I270" s="23">
        <f t="shared" si="212"/>
        <v>0</v>
      </c>
      <c r="J270" s="29"/>
      <c r="K270" s="46" t="str">
        <f t="shared" si="208"/>
        <v/>
      </c>
      <c r="L270" s="21">
        <f>IF(OR(F270="télétravail",F270="férié travaillé",F270="travail"),(J270-H270+IF(H270&gt;J270,1)-I270),INDEX(ref!$E$22:'ref'!$E$37,MATCH(F270,gerald3,0)))</f>
        <v>0</v>
      </c>
      <c r="M270" s="13">
        <f>IF(SUM(L270-ref!E$8)&lt;0,0,SUM(L270-ref!E$8))</f>
        <v>0</v>
      </c>
      <c r="N270" s="252">
        <f>L270-(hs!D269+hs!F269+hs!H269+hs!J269)</f>
        <v>0</v>
      </c>
      <c r="O270" s="8">
        <f>IF(OR(F270="férié travaillé",F270="travail",F270="asa",F270="rtt"),J270-H270+IF(H270&gt;J270,1),INDEX(ref!$E$22:'ref'!$E$37,MATCH(F270,gerald2,0)))</f>
        <v>0</v>
      </c>
      <c r="P270" s="14">
        <f>IF(SUM(O270-ref!E$4)&lt;0,0,SUM(O270-ref!E$4))</f>
        <v>0</v>
      </c>
      <c r="Q270" s="97">
        <f t="shared" si="213"/>
        <v>1.5319444444444446</v>
      </c>
      <c r="S270" s="137"/>
      <c r="T270" s="92"/>
      <c r="U270" s="129"/>
      <c r="V270" s="142">
        <f t="shared" si="209"/>
        <v>0</v>
      </c>
      <c r="W270" s="141" t="str">
        <f>IF(V270="","",IF(SUM(V270-ref!E$38)&gt;0,0,IF(V270=0, "0:00", SUM(V270-ref!E$38))))</f>
        <v>0:00</v>
      </c>
      <c r="X270" s="137"/>
      <c r="Y270" s="92"/>
      <c r="Z270" s="247"/>
      <c r="AA270" s="142">
        <f t="shared" si="214"/>
        <v>0</v>
      </c>
      <c r="AB270" s="245" t="str">
        <f>IF(AA270="","",IF(SUM(AA270-ref!E$38)&gt;0,0,IF(AA270=0, "0:00", SUM(AA270-ref!E$38))))</f>
        <v>0:00</v>
      </c>
      <c r="AC270" s="29"/>
      <c r="AD270" s="106"/>
      <c r="AE270" s="118">
        <f>ref!E$11</f>
        <v>2</v>
      </c>
      <c r="AF270" s="77">
        <f t="shared" si="210"/>
        <v>0</v>
      </c>
      <c r="AG270" s="19"/>
      <c r="AH270" s="178" t="s">
        <v>76</v>
      </c>
      <c r="AI270" s="54" t="s">
        <v>68</v>
      </c>
      <c r="AJ270" s="177" t="s">
        <v>77</v>
      </c>
      <c r="AK270" s="55" t="str" cm="1">
        <f t="array" ref="AK270">IF(ISNUMBER(G271),G271-_xlfn.AGGREGATE(14,6,(K$4:K270&lt;G271)*K$4:K270,1),"")</f>
        <v/>
      </c>
      <c r="AL270" s="20" t="str">
        <f>IF(ISNUMBER(AK270),ABS(IF(SUM(AK270-ref!E$9)&gt;0,0,SUM(AK270-ref!E$9))),"")</f>
        <v/>
      </c>
      <c r="AQ270"/>
    </row>
    <row r="271" spans="2:43" ht="15.75" thickBot="1" x14ac:dyDescent="0.3">
      <c r="B271"/>
      <c r="C271"/>
      <c r="D271"/>
      <c r="E271" s="154">
        <f t="shared" si="211"/>
        <v>44018</v>
      </c>
      <c r="F271" s="165" t="s">
        <v>19</v>
      </c>
      <c r="G271" s="155" t="str">
        <f t="shared" si="207"/>
        <v/>
      </c>
      <c r="H271" s="29"/>
      <c r="I271" s="23">
        <f t="shared" si="212"/>
        <v>0</v>
      </c>
      <c r="J271" s="29"/>
      <c r="K271" s="46" t="str">
        <f t="shared" si="208"/>
        <v/>
      </c>
      <c r="L271" s="21">
        <f>IF(OR(F271="télétravail",F271="férié travaillé",F271="travail"),(J271-H271+IF(H271&gt;J271,1)-I271),INDEX(ref!$E$22:'ref'!$E$37,MATCH(F271,gerald3,0)))</f>
        <v>0</v>
      </c>
      <c r="M271" s="13">
        <f>IF(SUM(L271-ref!E$8)&lt;0,0,SUM(L271-ref!E$8))</f>
        <v>0</v>
      </c>
      <c r="N271" s="252">
        <f>L271-(hs!D270+hs!F270+hs!H270+hs!J270)</f>
        <v>0</v>
      </c>
      <c r="O271" s="8">
        <f>IF(OR(F271="férié travaillé",F271="travail",F271="asa",F271="rtt"),J271-H271+IF(H271&gt;J271,1),INDEX(ref!$E$22:'ref'!$E$37,MATCH(F271,gerald2,0)))</f>
        <v>0</v>
      </c>
      <c r="P271" s="14">
        <f>IF(SUM(O271-ref!E$4)&lt;0,0,SUM(O271-ref!E$4))</f>
        <v>0</v>
      </c>
      <c r="Q271" s="94">
        <f t="shared" si="213"/>
        <v>1.5319444444444446</v>
      </c>
      <c r="S271" s="138"/>
      <c r="T271" s="92"/>
      <c r="U271" s="129"/>
      <c r="V271" s="142">
        <f t="shared" si="209"/>
        <v>0</v>
      </c>
      <c r="W271" s="141" t="str">
        <f>IF(V271="","",IF(SUM(V271-ref!E$38)&gt;0,0,IF(V271=0, "0:00", SUM(V271-ref!E$38))))</f>
        <v>0:00</v>
      </c>
      <c r="X271" s="138"/>
      <c r="Y271" s="92"/>
      <c r="Z271" s="247"/>
      <c r="AA271" s="142">
        <f t="shared" si="214"/>
        <v>0</v>
      </c>
      <c r="AB271" s="246" t="str">
        <f>IF(AA271="","",IF(SUM(AA271-ref!E$38)&gt;0,0,IF(AA271=0, "0:00", SUM(AA271-ref!E$38))))</f>
        <v>0:00</v>
      </c>
      <c r="AC271" s="29"/>
      <c r="AD271" s="106"/>
      <c r="AE271" s="110">
        <f>IF(SUM(Q271-ref!E$11)&lt;0,0,SUM(Q271-ref!E$11))</f>
        <v>0</v>
      </c>
      <c r="AF271" s="77">
        <f t="shared" si="210"/>
        <v>0</v>
      </c>
      <c r="AG271" s="19"/>
      <c r="AQ271"/>
    </row>
    <row r="272" spans="2:43" x14ac:dyDescent="0.25">
      <c r="W272" s="74"/>
      <c r="X272" s="2"/>
      <c r="Z272"/>
      <c r="AA272" s="2"/>
      <c r="AB272" s="2"/>
      <c r="AC272" s="127"/>
      <c r="AQ272"/>
    </row>
    <row r="273" spans="2:43" x14ac:dyDescent="0.25">
      <c r="X273" s="2"/>
      <c r="Z273"/>
      <c r="AA273" s="2"/>
      <c r="AB273" s="2"/>
      <c r="AC273" s="127"/>
      <c r="AQ273"/>
    </row>
    <row r="274" spans="2:43" ht="15.75" thickBot="1" x14ac:dyDescent="0.3">
      <c r="W274" s="74"/>
      <c r="X274" s="2"/>
      <c r="Z274"/>
      <c r="AA274" s="2"/>
      <c r="AB274" s="2"/>
      <c r="AC274" s="127"/>
      <c r="AQ274"/>
    </row>
    <row r="275" spans="2:43" x14ac:dyDescent="0.25">
      <c r="B275" s="78" t="s">
        <v>1</v>
      </c>
      <c r="C275" s="85" t="s">
        <v>90</v>
      </c>
      <c r="D275" s="85"/>
      <c r="E275" s="154">
        <f>DATE(ref!E$2,B279,B277)</f>
        <v>44019</v>
      </c>
      <c r="F275" s="163" t="s">
        <v>20</v>
      </c>
      <c r="G275" s="155">
        <f t="shared" ref="G275:G281" si="215">IF(AND(J275="",H275=""),"",E275+H275)</f>
        <v>44019.404861111114</v>
      </c>
      <c r="H275" s="29">
        <v>0.40486111111111112</v>
      </c>
      <c r="I275" s="23">
        <f>SUM(V275+AA275+AC275)</f>
        <v>3.472222222222221E-2</v>
      </c>
      <c r="J275" s="29">
        <v>0.74305555555555558</v>
      </c>
      <c r="K275" s="46">
        <f t="shared" ref="K275:K281" si="216">IF(AND(H275="",J275=""),"",E275+J275+(H275&gt;J275))</f>
        <v>44019.743055555555</v>
      </c>
      <c r="L275" s="21">
        <f>IF(OR(F275="télétravail",F275="férié travaillé",F275="travail"),(J275-H275+IF(H275&gt;J275,1)-I275),INDEX(ref!$E$22:'ref'!$E$37,MATCH(F275,gerald3,0)))</f>
        <v>0.30347222222222225</v>
      </c>
      <c r="M275" s="13">
        <f>IF(SUM(L275-ref!E$8)&lt;0,0,SUM(L275-ref!E$8))</f>
        <v>0</v>
      </c>
      <c r="N275" s="252">
        <f>L275-(hs!D274+hs!F274+hs!H274+hs!J274)</f>
        <v>-3.472222222222221E-2</v>
      </c>
      <c r="O275" s="8">
        <f>IF(OR(F275="férié travaillé",F275="travail",F275="asa",F275="rtt"),J275-H275+IF(H275&gt;J275,1),INDEX(ref!$E$22:'ref'!$E$37,MATCH(F275,gerald2,0)))</f>
        <v>0.33819444444444446</v>
      </c>
      <c r="P275" s="14">
        <f>IF(SUM(O275-ref!E$4)&lt;0,0,SUM(O275-ref!E$4))</f>
        <v>0</v>
      </c>
      <c r="Q275" s="21">
        <f>L275</f>
        <v>0.30347222222222225</v>
      </c>
      <c r="S275" s="136"/>
      <c r="T275" s="92">
        <v>0.54027777777777775</v>
      </c>
      <c r="U275" s="129">
        <v>0.57499999999999996</v>
      </c>
      <c r="V275" s="142">
        <f t="shared" ref="V275:V281" si="217">U275-T275</f>
        <v>3.472222222222221E-2</v>
      </c>
      <c r="W275" s="141">
        <f>IF(V275="","",IF(SUM(V275-ref!E$38)&gt;0,0,IF(V275=0, "0:00", SUM(V275-ref!E$38))))</f>
        <v>0</v>
      </c>
      <c r="X275" s="136"/>
      <c r="Y275" s="92"/>
      <c r="Z275" s="247"/>
      <c r="AA275" s="142">
        <f>Z275-Y275</f>
        <v>0</v>
      </c>
      <c r="AB275" s="244" t="str">
        <f>IF(AA275="","",IF(SUM(AA275-ref!E$38)&gt;0,0,IF(AA275=0, "0:00", SUM(AA275-ref!E$38))))</f>
        <v>0:00</v>
      </c>
      <c r="AC275" s="29"/>
      <c r="AD275" s="106"/>
      <c r="AE275" s="111">
        <f>SUM(AF275:AF281)</f>
        <v>5</v>
      </c>
      <c r="AF275" s="77">
        <f t="shared" ref="AF275:AF281" si="218">IF(AND(H275&lt;&gt;"",J275&lt;&gt;""),1,0+OR(N(J274)&lt;N(H274),F275="récupération",F275="congé 1 jour",F275="congé 1/2 jour ",F275="congé 5h24",F275="arrêt maladie",F275="arrêt travail",F275="férié ",F275="congé parentale",F275="congé de naissance"))</f>
        <v>1</v>
      </c>
      <c r="AG275" s="19"/>
      <c r="AH275" s="176" t="s">
        <v>71</v>
      </c>
      <c r="AI275" s="54" t="s">
        <v>68</v>
      </c>
      <c r="AJ275" s="177" t="s">
        <v>72</v>
      </c>
      <c r="AK275" s="55" cm="1">
        <f t="array" ref="AK275">IF(ISNUMBER(G276),G276-_xlfn.AGGREGATE(14,6,(K$4:K275&lt;G276)*K$4:K275,1),"")</f>
        <v>0.66597222222480923</v>
      </c>
      <c r="AL275" s="20">
        <f>IF(ISNUMBER(AK275),ABS(IF(SUM(AK275-ref!E$9)&gt;0,0,SUM(AK275-ref!E$9))),"")</f>
        <v>0</v>
      </c>
      <c r="AQ275"/>
    </row>
    <row r="276" spans="2:43" x14ac:dyDescent="0.25">
      <c r="B276" s="79" t="s">
        <v>1</v>
      </c>
      <c r="C276" s="85" t="s">
        <v>90</v>
      </c>
      <c r="D276" s="85"/>
      <c r="E276" s="154">
        <f t="shared" ref="E276:E281" si="219">E275+1</f>
        <v>44020</v>
      </c>
      <c r="F276" s="164" t="s">
        <v>20</v>
      </c>
      <c r="G276" s="155">
        <f t="shared" si="215"/>
        <v>44020.40902777778</v>
      </c>
      <c r="H276" s="29">
        <v>0.40902777777777777</v>
      </c>
      <c r="I276" s="23">
        <f t="shared" ref="I276:I281" si="220">SUM(V276+AA276+AC276)</f>
        <v>3.6111111111111094E-2</v>
      </c>
      <c r="J276" s="29">
        <v>0.74652777777777779</v>
      </c>
      <c r="K276" s="46">
        <f t="shared" si="216"/>
        <v>44020.746527777781</v>
      </c>
      <c r="L276" s="21">
        <f>IF(OR(F276="télétravail",F276="férié travaillé",F276="travail"),(J276-H276+IF(H276&gt;J276,1)-I276),INDEX(ref!$E$22:'ref'!$E$37,MATCH(F276,gerald3,0)))</f>
        <v>0.30138888888888893</v>
      </c>
      <c r="M276" s="13">
        <f>IF(SUM(L276-ref!E$8)&lt;0,0,SUM(L276-ref!E$8))</f>
        <v>0</v>
      </c>
      <c r="N276" s="252">
        <f>L276-(hs!D275+hs!F275+hs!H275+hs!J275)</f>
        <v>-3.6111111111111094E-2</v>
      </c>
      <c r="O276" s="8">
        <f>IF(OR(F276="férié travaillé",F276="travail",F276="asa",F276="rtt"),J276-H276+IF(H276&gt;J276,1),INDEX(ref!$E$22:'ref'!$E$37,MATCH(F276,gerald2,0)))</f>
        <v>0.33750000000000002</v>
      </c>
      <c r="P276" s="14">
        <f>IF(SUM(O276-ref!E$4)&lt;0,0,SUM(O276-ref!E$4))</f>
        <v>0</v>
      </c>
      <c r="Q276" s="24">
        <f t="shared" ref="Q276:Q281" si="221">Q275+L276</f>
        <v>0.60486111111111118</v>
      </c>
      <c r="S276" s="137"/>
      <c r="T276" s="92">
        <v>0.52500000000000002</v>
      </c>
      <c r="U276" s="129">
        <v>0.56111111111111112</v>
      </c>
      <c r="V276" s="142">
        <f t="shared" si="217"/>
        <v>3.6111111111111094E-2</v>
      </c>
      <c r="W276" s="141">
        <f>IF(V276="","",IF(SUM(V276-ref!E$38)&gt;0,0,IF(V276=0, "0:00", SUM(V276-ref!E$38))))</f>
        <v>0</v>
      </c>
      <c r="X276" s="137"/>
      <c r="Y276" s="92"/>
      <c r="Z276" s="247"/>
      <c r="AA276" s="142">
        <f t="shared" ref="AA276:AA281" si="222">Z276-Y276</f>
        <v>0</v>
      </c>
      <c r="AB276" s="245" t="str">
        <f>IF(AA276="","",IF(SUM(AA276-ref!E$38)&gt;0,0,IF(AA276=0, "0:00", SUM(AA276-ref!E$38))))</f>
        <v>0:00</v>
      </c>
      <c r="AC276" s="29"/>
      <c r="AD276" s="106"/>
      <c r="AE276" s="112">
        <f>IF(SUM(AE275-ref!E$7)&lt;0,0,SUM(AE275-ref!E$7))</f>
        <v>0</v>
      </c>
      <c r="AF276" s="77">
        <f t="shared" si="218"/>
        <v>1</v>
      </c>
      <c r="AG276" s="19"/>
      <c r="AH276" s="178" t="s">
        <v>72</v>
      </c>
      <c r="AI276" s="54" t="s">
        <v>68</v>
      </c>
      <c r="AJ276" s="177" t="s">
        <v>73</v>
      </c>
      <c r="AK276" s="55" cm="1">
        <f t="array" ref="AK276">IF(ISNUMBER(G277),G277-_xlfn.AGGREGATE(14,6,(K$4:K276&lt;G277)*K$4:K276,1),"")</f>
        <v>0.64999999999417923</v>
      </c>
      <c r="AL276" s="20">
        <f>IF(ISNUMBER(AK276),ABS(IF(SUM(AK276-ref!E$9)&gt;0,0,SUM(AK276-ref!E$9))),"")</f>
        <v>0</v>
      </c>
      <c r="AQ276"/>
    </row>
    <row r="277" spans="2:43" x14ac:dyDescent="0.25">
      <c r="B277" s="80">
        <v>8</v>
      </c>
      <c r="C277" s="85" t="s">
        <v>90</v>
      </c>
      <c r="D277" s="85"/>
      <c r="E277" s="154">
        <f t="shared" si="219"/>
        <v>44021</v>
      </c>
      <c r="F277" s="164" t="s">
        <v>20</v>
      </c>
      <c r="G277" s="155">
        <f t="shared" si="215"/>
        <v>44021.396527777775</v>
      </c>
      <c r="H277" s="29">
        <v>0.39652777777777776</v>
      </c>
      <c r="I277" s="23">
        <f t="shared" si="220"/>
        <v>3.6805555555555536E-2</v>
      </c>
      <c r="J277" s="29">
        <v>0.7319444444444444</v>
      </c>
      <c r="K277" s="46">
        <f t="shared" si="216"/>
        <v>44021.731944444444</v>
      </c>
      <c r="L277" s="21">
        <f>IF(OR(F277="télétravail",F277="férié travaillé",F277="travail"),(J277-H277+IF(H277&gt;J277,1)-I277),INDEX(ref!$E$22:'ref'!$E$37,MATCH(F277,gerald3,0)))</f>
        <v>0.2986111111111111</v>
      </c>
      <c r="M277" s="13">
        <f>IF(SUM(L277-ref!E$8)&lt;0,0,SUM(L277-ref!E$8))</f>
        <v>0</v>
      </c>
      <c r="N277" s="252">
        <f>L277-(hs!D276+hs!F276+hs!H276+hs!J276)</f>
        <v>-3.6805555555555536E-2</v>
      </c>
      <c r="O277" s="8">
        <f>IF(OR(F277="férié travaillé",F277="travail",F277="asa",F277="rtt"),J277-H277+IF(H277&gt;J277,1),INDEX(ref!$E$22:'ref'!$E$37,MATCH(F277,gerald2,0)))</f>
        <v>0.33541666666666664</v>
      </c>
      <c r="P277" s="14">
        <f>IF(SUM(O277-ref!E$4)&lt;0,0,SUM(O277-ref!E$4))</f>
        <v>0</v>
      </c>
      <c r="Q277" s="24">
        <f t="shared" si="221"/>
        <v>0.90347222222222223</v>
      </c>
      <c r="S277" s="137"/>
      <c r="T277" s="92">
        <v>0.53541666666666665</v>
      </c>
      <c r="U277" s="129">
        <v>0.57222222222222219</v>
      </c>
      <c r="V277" s="142">
        <f t="shared" si="217"/>
        <v>3.6805555555555536E-2</v>
      </c>
      <c r="W277" s="141">
        <f>IF(V277="","",IF(SUM(V277-ref!E$38)&gt;0,0,IF(V277=0, "0:00", SUM(V277-ref!E$38))))</f>
        <v>0</v>
      </c>
      <c r="X277" s="137"/>
      <c r="Y277" s="92"/>
      <c r="Z277" s="247"/>
      <c r="AA277" s="142">
        <f t="shared" si="222"/>
        <v>0</v>
      </c>
      <c r="AB277" s="245" t="str">
        <f>IF(AA277="","",IF(SUM(AA277-ref!E$38)&gt;0,0,IF(AA277=0, "0:00", SUM(AA277-ref!E$38))))</f>
        <v>0:00</v>
      </c>
      <c r="AC277" s="29"/>
      <c r="AD277" s="106"/>
      <c r="AE277" s="113" t="s">
        <v>29</v>
      </c>
      <c r="AF277" s="77">
        <f t="shared" si="218"/>
        <v>1</v>
      </c>
      <c r="AG277" s="19"/>
      <c r="AH277" s="178" t="s">
        <v>73</v>
      </c>
      <c r="AI277" s="54" t="s">
        <v>68</v>
      </c>
      <c r="AJ277" s="177" t="s">
        <v>74</v>
      </c>
      <c r="AK277" s="55" cm="1">
        <f t="array" ref="AK277">IF(ISNUMBER(G278),G278-_xlfn.AGGREGATE(14,6,(K$4:K277&lt;G278)*K$4:K277,1),"")</f>
        <v>0.67638888888905058</v>
      </c>
      <c r="AL277" s="20">
        <f>IF(ISNUMBER(AK277),ABS(IF(SUM(AK277-ref!E$9)&gt;0,0,SUM(AK277-ref!E$9))),"")</f>
        <v>0</v>
      </c>
      <c r="AQ277"/>
    </row>
    <row r="278" spans="2:43" x14ac:dyDescent="0.25">
      <c r="B278" s="79" t="s">
        <v>58</v>
      </c>
      <c r="C278" s="85" t="s">
        <v>90</v>
      </c>
      <c r="D278" s="85"/>
      <c r="E278" s="154">
        <f t="shared" si="219"/>
        <v>44022</v>
      </c>
      <c r="F278" s="164" t="s">
        <v>20</v>
      </c>
      <c r="G278" s="155">
        <f t="shared" si="215"/>
        <v>44022.408333333333</v>
      </c>
      <c r="H278" s="29">
        <v>0.40833333333333333</v>
      </c>
      <c r="I278" s="23">
        <f t="shared" si="220"/>
        <v>4.0972222222222188E-2</v>
      </c>
      <c r="J278" s="29">
        <v>0.72569444444444442</v>
      </c>
      <c r="K278" s="46">
        <f t="shared" si="216"/>
        <v>44022.725694444445</v>
      </c>
      <c r="L278" s="21">
        <f>IF(OR(F278="télétravail",F278="férié travaillé",F278="travail"),(J278-H278+IF(H278&gt;J278,1)-I278),INDEX(ref!$E$22:'ref'!$E$37,MATCH(F278,gerald3,0)))</f>
        <v>0.27638888888888891</v>
      </c>
      <c r="M278" s="13">
        <f>IF(SUM(L278-ref!E$8)&lt;0,0,SUM(L278-ref!E$8))</f>
        <v>0</v>
      </c>
      <c r="N278" s="252">
        <f>L278-(hs!D277+hs!F277+hs!H277+hs!J277)</f>
        <v>-4.0972222222222188E-2</v>
      </c>
      <c r="O278" s="8">
        <f>IF(OR(F278="férié travaillé",F278="travail",F278="asa",F278="rtt"),J278-H278+IF(H278&gt;J278,1),INDEX(ref!$E$22:'ref'!$E$37,MATCH(F278,gerald2,0)))</f>
        <v>0.31736111111111109</v>
      </c>
      <c r="P278" s="14">
        <f>IF(SUM(O278-ref!E$4)&lt;0,0,SUM(O278-ref!E$4))</f>
        <v>0</v>
      </c>
      <c r="Q278" s="24">
        <f t="shared" si="221"/>
        <v>1.1798611111111112</v>
      </c>
      <c r="S278" s="137"/>
      <c r="T278" s="92">
        <v>0.53125</v>
      </c>
      <c r="U278" s="129">
        <v>0.57222222222222219</v>
      </c>
      <c r="V278" s="142">
        <f t="shared" si="217"/>
        <v>4.0972222222222188E-2</v>
      </c>
      <c r="W278" s="141">
        <f>IF(V278="","",IF(SUM(V278-ref!E$38)&gt;0,0,IF(V278=0, "0:00", SUM(V278-ref!E$38))))</f>
        <v>0</v>
      </c>
      <c r="X278" s="137"/>
      <c r="Y278" s="92"/>
      <c r="Z278" s="247"/>
      <c r="AA278" s="142">
        <f t="shared" si="222"/>
        <v>0</v>
      </c>
      <c r="AB278" s="245" t="str">
        <f>IF(AA278="","",IF(SUM(AA278-ref!E$38)&gt;0,0,IF(AA278=0, "0:00", SUM(AA278-ref!E$38))))</f>
        <v>0:00</v>
      </c>
      <c r="AC278" s="29"/>
      <c r="AD278" s="106"/>
      <c r="AE278" s="114">
        <f>Q281</f>
        <v>1.4500000000000002</v>
      </c>
      <c r="AF278" s="77">
        <f t="shared" si="218"/>
        <v>1</v>
      </c>
      <c r="AG278" s="19"/>
      <c r="AH278" s="178" t="s">
        <v>74</v>
      </c>
      <c r="AI278" s="54" t="s">
        <v>68</v>
      </c>
      <c r="AJ278" s="177" t="s">
        <v>75</v>
      </c>
      <c r="AK278" s="55" cm="1">
        <f t="array" ref="AK278">IF(ISNUMBER(G279),G279-_xlfn.AGGREGATE(14,6,(K$4:K278&lt;G279)*K$4:K278,1),"")</f>
        <v>0.68194444444088731</v>
      </c>
      <c r="AL278" s="20">
        <f>IF(ISNUMBER(AK278),ABS(IF(SUM(AK278-ref!E$9)&gt;0,0,SUM(AK278-ref!E$9))),"")</f>
        <v>0</v>
      </c>
      <c r="AQ278"/>
    </row>
    <row r="279" spans="2:43" x14ac:dyDescent="0.25">
      <c r="B279" s="81">
        <v>7</v>
      </c>
      <c r="C279" s="86" t="s">
        <v>90</v>
      </c>
      <c r="D279" s="86"/>
      <c r="E279" s="154">
        <f t="shared" si="219"/>
        <v>44023</v>
      </c>
      <c r="F279" s="164" t="s">
        <v>20</v>
      </c>
      <c r="G279" s="155">
        <f t="shared" si="215"/>
        <v>44023.407638888886</v>
      </c>
      <c r="H279" s="29">
        <v>0.40763888888888888</v>
      </c>
      <c r="I279" s="23">
        <f t="shared" si="220"/>
        <v>7.2916666666666741E-2</v>
      </c>
      <c r="J279" s="29">
        <v>0.75069444444444444</v>
      </c>
      <c r="K279" s="46">
        <f t="shared" si="216"/>
        <v>44023.750694444447</v>
      </c>
      <c r="L279" s="21">
        <f>IF(OR(F279="télétravail",F279="férié travaillé",F279="travail"),(J279-H279+IF(H279&gt;J279,1)-I279),INDEX(ref!$E$22:'ref'!$E$37,MATCH(F279,gerald3,0)))</f>
        <v>0.27013888888888882</v>
      </c>
      <c r="M279" s="13">
        <f>IF(SUM(L279-ref!E$8)&lt;0,0,SUM(L279-ref!E$8))</f>
        <v>0</v>
      </c>
      <c r="N279" s="252">
        <f>L279-(hs!D278+hs!F278+hs!H278+hs!J278)</f>
        <v>-7.2916666666666741E-2</v>
      </c>
      <c r="O279" s="8">
        <f>IF(OR(F279="férié travaillé",F279="travail",F279="asa",F279="rtt"),J279-H279+IF(H279&gt;J279,1),INDEX(ref!$E$22:'ref'!$E$37,MATCH(F279,gerald2,0)))</f>
        <v>0.34305555555555556</v>
      </c>
      <c r="P279" s="14">
        <f>IF(SUM(O279-ref!E$4)&lt;0,0,SUM(O279-ref!E$4))</f>
        <v>0</v>
      </c>
      <c r="Q279" s="168">
        <f t="shared" si="221"/>
        <v>1.4500000000000002</v>
      </c>
      <c r="S279" s="137"/>
      <c r="T279" s="92">
        <v>0.51041666666666663</v>
      </c>
      <c r="U279" s="129">
        <v>0.58333333333333337</v>
      </c>
      <c r="V279" s="142">
        <f t="shared" si="217"/>
        <v>7.2916666666666741E-2</v>
      </c>
      <c r="W279" s="141">
        <f>IF(V279="","",IF(SUM(V279-ref!E$38)&gt;0,0,IF(V279=0, "0:00", SUM(V279-ref!E$38))))</f>
        <v>0</v>
      </c>
      <c r="X279" s="137"/>
      <c r="Y279" s="92"/>
      <c r="Z279" s="247"/>
      <c r="AA279" s="142">
        <f t="shared" si="222"/>
        <v>0</v>
      </c>
      <c r="AB279" s="245" t="str">
        <f>IF(AA279="","",IF(SUM(AA279-ref!E$38)&gt;0,0,IF(AA279=0, "0:00", SUM(AA279-ref!E$38))))</f>
        <v>0:00</v>
      </c>
      <c r="AC279" s="29"/>
      <c r="AD279" s="106"/>
      <c r="AE279" s="117" t="s">
        <v>47</v>
      </c>
      <c r="AF279" s="77">
        <f t="shared" si="218"/>
        <v>1</v>
      </c>
      <c r="AG279" s="19"/>
      <c r="AH279" s="178" t="s">
        <v>75</v>
      </c>
      <c r="AI279" s="54" t="s">
        <v>68</v>
      </c>
      <c r="AJ279" s="177" t="s">
        <v>76</v>
      </c>
      <c r="AK279" s="55" t="str" cm="1">
        <f t="array" ref="AK279">IF(ISNUMBER(G280),G280-_xlfn.AGGREGATE(14,6,(K$4:K279&lt;G280)*K$4:K279,1),"")</f>
        <v/>
      </c>
      <c r="AL279" s="20" t="str">
        <f>IF(ISNUMBER(AK279),ABS(IF(SUM(AK279-ref!E$9)&gt;0,0,SUM(AK279-ref!E$9))),"")</f>
        <v/>
      </c>
      <c r="AQ279"/>
    </row>
    <row r="280" spans="2:43" ht="15.75" thickBot="1" x14ac:dyDescent="0.3">
      <c r="B280"/>
      <c r="C280"/>
      <c r="D280"/>
      <c r="E280" s="154">
        <f t="shared" si="219"/>
        <v>44024</v>
      </c>
      <c r="F280" s="164" t="s">
        <v>19</v>
      </c>
      <c r="G280" s="155" t="str">
        <f t="shared" si="215"/>
        <v/>
      </c>
      <c r="H280" s="29"/>
      <c r="I280" s="23">
        <f t="shared" si="220"/>
        <v>0</v>
      </c>
      <c r="J280" s="29"/>
      <c r="K280" s="46" t="str">
        <f t="shared" si="216"/>
        <v/>
      </c>
      <c r="L280" s="21">
        <f>IF(OR(F280="télétravail",F280="férié travaillé",F280="travail"),(J280-H280+IF(H280&gt;J280,1)-I280),INDEX(ref!$E$22:'ref'!$E$37,MATCH(F280,gerald3,0)))</f>
        <v>0</v>
      </c>
      <c r="M280" s="13">
        <f>IF(SUM(L280-ref!E$8)&lt;0,0,SUM(L280-ref!E$8))</f>
        <v>0</v>
      </c>
      <c r="N280" s="252">
        <f>L280-(hs!D279+hs!F279+hs!H279+hs!J279)</f>
        <v>0</v>
      </c>
      <c r="O280" s="8">
        <f>IF(OR(F280="férié travaillé",F280="travail",F280="asa",F280="rtt"),J280-H280+IF(H280&gt;J280,1),INDEX(ref!$E$22:'ref'!$E$37,MATCH(F280,gerald2,0)))</f>
        <v>0</v>
      </c>
      <c r="P280" s="14">
        <f>IF(SUM(O280-ref!E$4)&lt;0,0,SUM(O280-ref!E$4))</f>
        <v>0</v>
      </c>
      <c r="Q280" s="97">
        <f t="shared" si="221"/>
        <v>1.4500000000000002</v>
      </c>
      <c r="S280" s="137"/>
      <c r="T280" s="92"/>
      <c r="U280" s="129"/>
      <c r="V280" s="142">
        <f t="shared" si="217"/>
        <v>0</v>
      </c>
      <c r="W280" s="141" t="str">
        <f>IF(V280="","",IF(SUM(V280-ref!E$38)&gt;0,0,IF(V280=0, "0:00", SUM(V280-ref!E$38))))</f>
        <v>0:00</v>
      </c>
      <c r="X280" s="137"/>
      <c r="Y280" s="92"/>
      <c r="Z280" s="247"/>
      <c r="AA280" s="142">
        <f t="shared" si="222"/>
        <v>0</v>
      </c>
      <c r="AB280" s="245" t="str">
        <f>IF(AA280="","",IF(SUM(AA280-ref!E$38)&gt;0,0,IF(AA280=0, "0:00", SUM(AA280-ref!E$38))))</f>
        <v>0:00</v>
      </c>
      <c r="AC280" s="29"/>
      <c r="AD280" s="106"/>
      <c r="AE280" s="118">
        <f>ref!E$11</f>
        <v>2</v>
      </c>
      <c r="AF280" s="77">
        <f t="shared" si="218"/>
        <v>0</v>
      </c>
      <c r="AG280" s="19"/>
      <c r="AH280" s="178" t="s">
        <v>76</v>
      </c>
      <c r="AI280" s="54" t="s">
        <v>68</v>
      </c>
      <c r="AJ280" s="177" t="s">
        <v>77</v>
      </c>
      <c r="AK280" s="55" t="str" cm="1">
        <f t="array" ref="AK280">IF(ISNUMBER(G281),G281-_xlfn.AGGREGATE(14,6,(K$4:K280&lt;G281)*K$4:K280,1),"")</f>
        <v/>
      </c>
      <c r="AL280" s="20" t="str">
        <f>IF(ISNUMBER(AK280),ABS(IF(SUM(AK280-ref!E$9)&gt;0,0,SUM(AK280-ref!E$9))),"")</f>
        <v/>
      </c>
      <c r="AQ280"/>
    </row>
    <row r="281" spans="2:43" ht="15.75" thickBot="1" x14ac:dyDescent="0.3">
      <c r="B281"/>
      <c r="C281"/>
      <c r="D281"/>
      <c r="E281" s="154">
        <f t="shared" si="219"/>
        <v>44025</v>
      </c>
      <c r="F281" s="165" t="s">
        <v>19</v>
      </c>
      <c r="G281" s="155" t="str">
        <f t="shared" si="215"/>
        <v/>
      </c>
      <c r="H281" s="29"/>
      <c r="I281" s="23">
        <f t="shared" si="220"/>
        <v>0</v>
      </c>
      <c r="J281" s="29"/>
      <c r="K281" s="46" t="str">
        <f t="shared" si="216"/>
        <v/>
      </c>
      <c r="L281" s="21">
        <f>IF(OR(F281="télétravail",F281="férié travaillé",F281="travail"),(J281-H281+IF(H281&gt;J281,1)-I281),INDEX(ref!$E$22:'ref'!$E$37,MATCH(F281,gerald3,0)))</f>
        <v>0</v>
      </c>
      <c r="M281" s="13">
        <f>IF(SUM(L281-ref!E$8)&lt;0,0,SUM(L281-ref!E$8))</f>
        <v>0</v>
      </c>
      <c r="N281" s="252">
        <f>L281-(hs!D280+hs!F280+hs!H280+hs!J280)</f>
        <v>0</v>
      </c>
      <c r="O281" s="8">
        <f>IF(OR(F281="férié travaillé",F281="travail",F281="asa",F281="rtt"),J281-H281+IF(H281&gt;J281,1),INDEX(ref!$E$22:'ref'!$E$37,MATCH(F281,gerald2,0)))</f>
        <v>0</v>
      </c>
      <c r="P281" s="14">
        <f>IF(SUM(O281-ref!E$4)&lt;0,0,SUM(O281-ref!E$4))</f>
        <v>0</v>
      </c>
      <c r="Q281" s="94">
        <f t="shared" si="221"/>
        <v>1.4500000000000002</v>
      </c>
      <c r="S281" s="138"/>
      <c r="T281" s="92"/>
      <c r="U281" s="129"/>
      <c r="V281" s="142">
        <f t="shared" si="217"/>
        <v>0</v>
      </c>
      <c r="W281" s="141" t="str">
        <f>IF(V281="","",IF(SUM(V281-ref!E$38)&gt;0,0,IF(V281=0, "0:00", SUM(V281-ref!E$38))))</f>
        <v>0:00</v>
      </c>
      <c r="X281" s="138"/>
      <c r="Y281" s="92"/>
      <c r="Z281" s="247"/>
      <c r="AA281" s="142">
        <f t="shared" si="222"/>
        <v>0</v>
      </c>
      <c r="AB281" s="246" t="str">
        <f>IF(AA281="","",IF(SUM(AA281-ref!E$38)&gt;0,0,IF(AA281=0, "0:00", SUM(AA281-ref!E$38))))</f>
        <v>0:00</v>
      </c>
      <c r="AC281" s="29"/>
      <c r="AD281" s="106"/>
      <c r="AE281" s="110">
        <f>IF(SUM(Q281-ref!E$11)&lt;0,0,SUM(Q281-ref!E$11))</f>
        <v>0</v>
      </c>
      <c r="AF281" s="77">
        <f t="shared" si="218"/>
        <v>0</v>
      </c>
      <c r="AG281" s="19"/>
      <c r="AQ281"/>
    </row>
    <row r="282" spans="2:43" x14ac:dyDescent="0.25">
      <c r="W282" s="74">
        <v>0.42152777777777778</v>
      </c>
      <c r="X282" s="2"/>
      <c r="Z282"/>
      <c r="AA282" s="2"/>
      <c r="AB282" s="2"/>
      <c r="AC282" s="127"/>
      <c r="AQ282"/>
    </row>
    <row r="283" spans="2:43" x14ac:dyDescent="0.25">
      <c r="X283" s="2"/>
      <c r="Z283"/>
      <c r="AA283" s="2"/>
      <c r="AB283" s="2"/>
      <c r="AC283" s="127"/>
      <c r="AQ283"/>
    </row>
    <row r="284" spans="2:43" ht="15.75" thickBot="1" x14ac:dyDescent="0.3">
      <c r="W284" s="74"/>
      <c r="X284" s="2"/>
      <c r="Z284"/>
      <c r="AA284" s="2"/>
      <c r="AB284" s="2"/>
      <c r="AC284" s="127"/>
      <c r="AQ284"/>
    </row>
    <row r="285" spans="2:43" x14ac:dyDescent="0.25">
      <c r="B285" s="78" t="s">
        <v>1</v>
      </c>
      <c r="C285" s="85" t="s">
        <v>90</v>
      </c>
      <c r="D285" s="85"/>
      <c r="E285" s="154">
        <f>DATE(ref!E$2,B289,B287)</f>
        <v>44026</v>
      </c>
      <c r="F285" s="163" t="s">
        <v>20</v>
      </c>
      <c r="G285" s="155">
        <f t="shared" ref="G285:G291" si="223">IF(AND(J285="",H285=""),"",E285+H285)</f>
        <v>44026.410416666666</v>
      </c>
      <c r="H285" s="29">
        <v>0.41041666666666665</v>
      </c>
      <c r="I285" s="23">
        <f>SUM(V285+AA285+AC285)</f>
        <v>4.2361111111111072E-2</v>
      </c>
      <c r="J285" s="29">
        <v>0.76041666666666663</v>
      </c>
      <c r="K285" s="46">
        <f t="shared" ref="K285:K291" si="224">IF(AND(H285="",J285=""),"",E285+J285+(H285&gt;J285))</f>
        <v>44026.760416666664</v>
      </c>
      <c r="L285" s="21">
        <f>IF(OR(F285="télétravail",F285="férié travaillé",F285="travail"),(J285-H285+IF(H285&gt;J285,1)-I285),INDEX(ref!$E$22:'ref'!$E$37,MATCH(F285,gerald3,0)))</f>
        <v>0.30763888888888891</v>
      </c>
      <c r="M285" s="13">
        <f>IF(SUM(L285-ref!E$8)&lt;0,0,SUM(L285-ref!E$8))</f>
        <v>0</v>
      </c>
      <c r="N285" s="252">
        <f>L285-(hs!D284+hs!F284+hs!H284+hs!J284)</f>
        <v>-4.2361111111111072E-2</v>
      </c>
      <c r="O285" s="8">
        <f>IF(OR(F285="férié travaillé",F285="travail",F285="asa",F285="rtt"),J285-H285+IF(H285&gt;J285,1),INDEX(ref!$E$22:'ref'!$E$37,MATCH(F285,gerald2,0)))</f>
        <v>0.35</v>
      </c>
      <c r="P285" s="14">
        <f>IF(SUM(O285-ref!E$4)&lt;0,0,SUM(O285-ref!E$4))</f>
        <v>0</v>
      </c>
      <c r="Q285" s="21">
        <f>L285</f>
        <v>0.30763888888888891</v>
      </c>
      <c r="S285" s="136"/>
      <c r="T285" s="92">
        <v>0.51736111111111116</v>
      </c>
      <c r="U285" s="129">
        <v>0.55972222222222223</v>
      </c>
      <c r="V285" s="142">
        <f t="shared" ref="V285:V291" si="225">U285-T285</f>
        <v>4.2361111111111072E-2</v>
      </c>
      <c r="W285" s="141">
        <f>IF(V285="","",IF(SUM(V285-ref!E$38)&gt;0,0,IF(V285=0, "0:00", SUM(V285-ref!E$38))))</f>
        <v>0</v>
      </c>
      <c r="X285" s="136"/>
      <c r="Y285" s="92"/>
      <c r="Z285" s="247"/>
      <c r="AA285" s="142">
        <f>Z285-Y285</f>
        <v>0</v>
      </c>
      <c r="AB285" s="244" t="str">
        <f>IF(AA285="","",IF(SUM(AA285-ref!E$38)&gt;0,0,IF(AA285=0, "0:00", SUM(AA285-ref!E$38))))</f>
        <v>0:00</v>
      </c>
      <c r="AC285" s="29"/>
      <c r="AD285" s="106"/>
      <c r="AE285" s="111">
        <f>SUM(AF285:AF291)</f>
        <v>4</v>
      </c>
      <c r="AF285" s="77">
        <f t="shared" ref="AF285:AF291" si="226">IF(AND(H285&lt;&gt;"",J285&lt;&gt;""),1,0+OR(N(J284)&lt;N(H284),F285="récupération",F285="congé 1 jour",F285="congé 1/2 jour ",F285="congé 5h24",F285="arrêt maladie",F285="arrêt travail",F285="férié ",F285="congé parentale",F285="congé de naissance"))</f>
        <v>1</v>
      </c>
      <c r="AG285" s="19"/>
      <c r="AH285" s="176" t="s">
        <v>71</v>
      </c>
      <c r="AI285" s="54" t="s">
        <v>68</v>
      </c>
      <c r="AJ285" s="177" t="s">
        <v>72</v>
      </c>
      <c r="AK285" s="55" cm="1">
        <f t="array" ref="AK285">IF(ISNUMBER(G286),G286-_xlfn.AGGREGATE(14,6,(K$4:K285&lt;G286)*K$4:K285,1),"")</f>
        <v>0.64097222222335404</v>
      </c>
      <c r="AL285" s="20">
        <f>IF(ISNUMBER(AK285),ABS(IF(SUM(AK285-ref!E$9)&gt;0,0,SUM(AK285-ref!E$9))),"")</f>
        <v>0</v>
      </c>
      <c r="AQ285"/>
    </row>
    <row r="286" spans="2:43" x14ac:dyDescent="0.25">
      <c r="B286" s="79" t="s">
        <v>1</v>
      </c>
      <c r="C286" s="85" t="s">
        <v>90</v>
      </c>
      <c r="D286" s="85"/>
      <c r="E286" s="154">
        <f t="shared" ref="E286:E291" si="227">E285+1</f>
        <v>44027</v>
      </c>
      <c r="F286" s="164" t="s">
        <v>20</v>
      </c>
      <c r="G286" s="155">
        <f t="shared" si="223"/>
        <v>44027.401388888888</v>
      </c>
      <c r="H286" s="29">
        <v>0.40138888888888891</v>
      </c>
      <c r="I286" s="23">
        <f t="shared" ref="I286:I291" si="228">SUM(V286+AA286+AC286)</f>
        <v>3.6111111111111205E-2</v>
      </c>
      <c r="J286" s="29">
        <v>0.6875</v>
      </c>
      <c r="K286" s="46">
        <f t="shared" si="224"/>
        <v>44027.6875</v>
      </c>
      <c r="L286" s="21">
        <f>IF(OR(F286="télétravail",F286="férié travaillé",F286="travail"),(J286-H286+IF(H286&gt;J286,1)-I286),INDEX(ref!$E$22:'ref'!$E$37,MATCH(F286,gerald3,0)))</f>
        <v>0.24999999999999989</v>
      </c>
      <c r="M286" s="13">
        <f>IF(SUM(L286-ref!E$8)&lt;0,0,SUM(L286-ref!E$8))</f>
        <v>0</v>
      </c>
      <c r="N286" s="252">
        <f>L286-(hs!D285+hs!F285+hs!H285+hs!J285)</f>
        <v>-3.6111111111111205E-2</v>
      </c>
      <c r="O286" s="8">
        <f>IF(OR(F286="férié travaillé",F286="travail",F286="asa",F286="rtt"),J286-H286+IF(H286&gt;J286,1),INDEX(ref!$E$22:'ref'!$E$37,MATCH(F286,gerald2,0)))</f>
        <v>0.28611111111111109</v>
      </c>
      <c r="P286" s="14">
        <f>IF(SUM(O286-ref!E$4)&lt;0,0,SUM(O286-ref!E$4))</f>
        <v>0</v>
      </c>
      <c r="Q286" s="24">
        <f t="shared" ref="Q286:Q291" si="229">Q285+L286</f>
        <v>0.5576388888888888</v>
      </c>
      <c r="S286" s="137"/>
      <c r="T286" s="92">
        <v>0.51388888888888884</v>
      </c>
      <c r="U286" s="129">
        <v>0.55000000000000004</v>
      </c>
      <c r="V286" s="142">
        <f t="shared" si="225"/>
        <v>3.6111111111111205E-2</v>
      </c>
      <c r="W286" s="141">
        <f>IF(V286="","",IF(SUM(V286-ref!E$38)&gt;0,0,IF(V286=0, "0:00", SUM(V286-ref!E$38))))</f>
        <v>0</v>
      </c>
      <c r="X286" s="137"/>
      <c r="Y286" s="92"/>
      <c r="Z286" s="247"/>
      <c r="AA286" s="142">
        <f t="shared" ref="AA286:AA291" si="230">Z286-Y286</f>
        <v>0</v>
      </c>
      <c r="AB286" s="245" t="str">
        <f>IF(AA286="","",IF(SUM(AA286-ref!E$38)&gt;0,0,IF(AA286=0, "0:00", SUM(AA286-ref!E$38))))</f>
        <v>0:00</v>
      </c>
      <c r="AC286" s="29"/>
      <c r="AD286" s="106"/>
      <c r="AE286" s="112">
        <f>IF(SUM(AE285-ref!E$7)&lt;0,0,SUM(AE285-ref!E$7))</f>
        <v>0</v>
      </c>
      <c r="AF286" s="77">
        <f t="shared" si="226"/>
        <v>1</v>
      </c>
      <c r="AG286" s="19"/>
      <c r="AH286" s="178" t="s">
        <v>72</v>
      </c>
      <c r="AI286" s="54" t="s">
        <v>68</v>
      </c>
      <c r="AJ286" s="177" t="s">
        <v>73</v>
      </c>
      <c r="AK286" s="55" t="str" cm="1">
        <f t="array" ref="AK286">IF(ISNUMBER(G287),G287-_xlfn.AGGREGATE(14,6,(K$4:K286&lt;G287)*K$4:K286,1),"")</f>
        <v/>
      </c>
      <c r="AL286" s="20" t="str">
        <f>IF(ISNUMBER(AK286),ABS(IF(SUM(AK286-ref!E$9)&gt;0,0,SUM(AK286-ref!E$9))),"")</f>
        <v/>
      </c>
      <c r="AQ286"/>
    </row>
    <row r="287" spans="2:43" x14ac:dyDescent="0.25">
      <c r="B287" s="80">
        <v>15</v>
      </c>
      <c r="C287" s="85" t="s">
        <v>90</v>
      </c>
      <c r="D287" s="85"/>
      <c r="E287" s="154">
        <f t="shared" si="227"/>
        <v>44028</v>
      </c>
      <c r="F287" s="164" t="s">
        <v>60</v>
      </c>
      <c r="G287" s="155" t="str">
        <f t="shared" si="223"/>
        <v/>
      </c>
      <c r="H287" s="29"/>
      <c r="I287" s="23">
        <f t="shared" si="228"/>
        <v>0</v>
      </c>
      <c r="J287" s="29"/>
      <c r="K287" s="46" t="str">
        <f t="shared" si="224"/>
        <v/>
      </c>
      <c r="L287" s="21">
        <f>IF(OR(F287="télétravail",F287="férié travaillé",F287="travail"),(J287-H287+IF(H287&gt;J287,1)-I287),INDEX(ref!$E$22:'ref'!$E$37,MATCH(F287,gerald3,0)))</f>
        <v>0.29166666666666669</v>
      </c>
      <c r="M287" s="13">
        <f>IF(SUM(L287-ref!E$8)&lt;0,0,SUM(L287-ref!E$8))</f>
        <v>0</v>
      </c>
      <c r="N287" s="252">
        <f>L287-(hs!D286+hs!F286+hs!H286+hs!J286)</f>
        <v>0.29166666666666669</v>
      </c>
      <c r="O287" s="8">
        <f>IF(OR(F287="férié travaillé",F287="travail",F287="asa",F287="rtt"),J287-H287+IF(H287&gt;J287,1),INDEX(ref!$E$22:'ref'!$E$37,MATCH(F287,gerald2,0)))</f>
        <v>0</v>
      </c>
      <c r="P287" s="14">
        <f>IF(SUM(O287-ref!E$4)&lt;0,0,SUM(O287-ref!E$4))</f>
        <v>0</v>
      </c>
      <c r="Q287" s="24">
        <f t="shared" si="229"/>
        <v>0.84930555555555554</v>
      </c>
      <c r="S287" s="137"/>
      <c r="T287" s="92"/>
      <c r="U287" s="129"/>
      <c r="V287" s="142">
        <f t="shared" si="225"/>
        <v>0</v>
      </c>
      <c r="W287" s="141" t="str">
        <f>IF(V287="","",IF(SUM(V287-ref!E$38)&gt;0,0,IF(V287=0, "0:00", SUM(V287-ref!E$38))))</f>
        <v>0:00</v>
      </c>
      <c r="X287" s="137"/>
      <c r="Y287" s="92"/>
      <c r="Z287" s="247"/>
      <c r="AA287" s="142">
        <f t="shared" si="230"/>
        <v>0</v>
      </c>
      <c r="AB287" s="245" t="str">
        <f>IF(AA287="","",IF(SUM(AA287-ref!E$38)&gt;0,0,IF(AA287=0, "0:00", SUM(AA287-ref!E$38))))</f>
        <v>0:00</v>
      </c>
      <c r="AC287" s="29"/>
      <c r="AD287" s="106"/>
      <c r="AE287" s="113" t="s">
        <v>29</v>
      </c>
      <c r="AF287" s="77">
        <f t="shared" si="226"/>
        <v>0</v>
      </c>
      <c r="AG287" s="19"/>
      <c r="AH287" s="178" t="s">
        <v>73</v>
      </c>
      <c r="AI287" s="54" t="s">
        <v>68</v>
      </c>
      <c r="AJ287" s="177" t="s">
        <v>74</v>
      </c>
      <c r="AK287" s="55" cm="1">
        <f t="array" ref="AK287">IF(ISNUMBER(G288),G288-_xlfn.AGGREGATE(14,6,(K$4:K287&lt;G288)*K$4:K287,1),"")</f>
        <v>1.734027777776646</v>
      </c>
      <c r="AL287" s="20">
        <f>IF(ISNUMBER(AK287),ABS(IF(SUM(AK287-ref!E$9)&gt;0,0,SUM(AK287-ref!E$9))),"")</f>
        <v>0</v>
      </c>
      <c r="AQ287"/>
    </row>
    <row r="288" spans="2:43" x14ac:dyDescent="0.25">
      <c r="B288" s="79" t="s">
        <v>58</v>
      </c>
      <c r="C288" s="85" t="s">
        <v>90</v>
      </c>
      <c r="D288" s="85"/>
      <c r="E288" s="154">
        <f t="shared" si="227"/>
        <v>44029</v>
      </c>
      <c r="F288" s="164" t="s">
        <v>20</v>
      </c>
      <c r="G288" s="155">
        <f t="shared" si="223"/>
        <v>44029.421527777777</v>
      </c>
      <c r="H288" s="29">
        <v>0.42152777777777778</v>
      </c>
      <c r="I288" s="23">
        <f t="shared" si="228"/>
        <v>5.0000000000000044E-2</v>
      </c>
      <c r="J288" s="29">
        <v>0.74305555555555558</v>
      </c>
      <c r="K288" s="46">
        <f t="shared" si="224"/>
        <v>44029.743055555555</v>
      </c>
      <c r="L288" s="21">
        <f>IF(OR(F288="télétravail",F288="férié travaillé",F288="travail"),(J288-H288+IF(H288&gt;J288,1)-I288),INDEX(ref!$E$22:'ref'!$E$37,MATCH(F288,gerald3,0)))</f>
        <v>0.27152777777777776</v>
      </c>
      <c r="M288" s="13">
        <f>IF(SUM(L288-ref!E$8)&lt;0,0,SUM(L288-ref!E$8))</f>
        <v>0</v>
      </c>
      <c r="N288" s="252">
        <f>L288-(hs!D287+hs!F287+hs!H287+hs!J287)</f>
        <v>-5.0000000000000044E-2</v>
      </c>
      <c r="O288" s="8">
        <f>IF(OR(F288="férié travaillé",F288="travail",F288="asa",F288="rtt"),J288-H288+IF(H288&gt;J288,1),INDEX(ref!$E$22:'ref'!$E$37,MATCH(F288,gerald2,0)))</f>
        <v>0.3215277777777778</v>
      </c>
      <c r="P288" s="14">
        <f>IF(SUM(O288-ref!E$4)&lt;0,0,SUM(O288-ref!E$4))</f>
        <v>0</v>
      </c>
      <c r="Q288" s="24">
        <f t="shared" si="229"/>
        <v>1.1208333333333333</v>
      </c>
      <c r="S288" s="137"/>
      <c r="T288" s="92">
        <v>0.5</v>
      </c>
      <c r="U288" s="129">
        <v>0.55000000000000004</v>
      </c>
      <c r="V288" s="142">
        <f>U288-T288</f>
        <v>5.0000000000000044E-2</v>
      </c>
      <c r="W288" s="141">
        <f>IF(V288="","",IF(SUM(V288-ref!E$38)&gt;0,0,IF(V288=0, "0:00", SUM(V288-ref!E$38))))</f>
        <v>0</v>
      </c>
      <c r="X288" s="137"/>
      <c r="Y288" s="92"/>
      <c r="Z288" s="247"/>
      <c r="AA288" s="142">
        <f t="shared" si="230"/>
        <v>0</v>
      </c>
      <c r="AB288" s="245" t="str">
        <f>IF(AA288="","",IF(SUM(AA288-ref!E$38)&gt;0,0,IF(AA288=0, "0:00", SUM(AA288-ref!E$38))))</f>
        <v>0:00</v>
      </c>
      <c r="AC288" s="29"/>
      <c r="AD288" s="106"/>
      <c r="AE288" s="114">
        <f>Q291</f>
        <v>1.6194444444444445</v>
      </c>
      <c r="AF288" s="77">
        <f t="shared" si="226"/>
        <v>1</v>
      </c>
      <c r="AG288" s="19"/>
      <c r="AH288" s="178" t="s">
        <v>74</v>
      </c>
      <c r="AI288" s="54" t="s">
        <v>68</v>
      </c>
      <c r="AJ288" s="177" t="s">
        <v>75</v>
      </c>
      <c r="AK288" s="55" cm="1">
        <f t="array" ref="AK288">IF(ISNUMBER(G289),G289-_xlfn.AGGREGATE(14,6,(K$4:K288&lt;G289)*K$4:K288,1),"")</f>
        <v>0.66944444444379769</v>
      </c>
      <c r="AL288" s="20">
        <f>IF(ISNUMBER(AK288),ABS(IF(SUM(AK288-ref!E$9)&gt;0,0,SUM(AK288-ref!E$9))),"")</f>
        <v>0</v>
      </c>
      <c r="AQ288"/>
    </row>
    <row r="289" spans="2:43" x14ac:dyDescent="0.25">
      <c r="B289" s="81">
        <v>7</v>
      </c>
      <c r="C289" s="86" t="s">
        <v>90</v>
      </c>
      <c r="D289" s="86"/>
      <c r="E289" s="154">
        <f t="shared" si="227"/>
        <v>44030</v>
      </c>
      <c r="F289" s="164" t="s">
        <v>20</v>
      </c>
      <c r="G289" s="155">
        <f t="shared" si="223"/>
        <v>44030.412499999999</v>
      </c>
      <c r="H289" s="29">
        <v>0.41249999999999998</v>
      </c>
      <c r="I289" s="23">
        <f t="shared" si="228"/>
        <v>4.7222222222222165E-2</v>
      </c>
      <c r="J289" s="29">
        <v>0.95833333333333337</v>
      </c>
      <c r="K289" s="46">
        <f t="shared" si="224"/>
        <v>44030.958333333336</v>
      </c>
      <c r="L289" s="21">
        <f>IF(OR(F289="télétravail",F289="férié travaillé",F289="travail"),(J289-H289+IF(H289&gt;J289,1)-I289),INDEX(ref!$E$22:'ref'!$E$37,MATCH(F289,gerald3,0)))</f>
        <v>0.49861111111111123</v>
      </c>
      <c r="M289" s="13">
        <f>IF(SUM(L289-ref!E$8)&lt;0,0,SUM(L289-ref!E$8))</f>
        <v>8.1944444444444542E-2</v>
      </c>
      <c r="N289" s="252">
        <f>L289-(hs!D288+hs!F288+hs!H288+hs!J288)</f>
        <v>-0.23472222222222217</v>
      </c>
      <c r="O289" s="8">
        <f>IF(OR(F289="férié travaillé",F289="travail",F289="asa",F289="rtt"),J289-H289+IF(H289&gt;J289,1),INDEX(ref!$E$22:'ref'!$E$37,MATCH(F289,gerald2,0)))</f>
        <v>0.54583333333333339</v>
      </c>
      <c r="P289" s="14">
        <f>IF(SUM(O289-ref!E$4)&lt;0,0,SUM(O289-ref!E$4))</f>
        <v>4.5833333333333393E-2</v>
      </c>
      <c r="Q289" s="24">
        <f t="shared" si="229"/>
        <v>1.6194444444444445</v>
      </c>
      <c r="S289" s="137"/>
      <c r="T289" s="92">
        <v>0.51944444444444449</v>
      </c>
      <c r="U289" s="129">
        <v>0.56666666666666665</v>
      </c>
      <c r="V289" s="142">
        <f>U289-T289</f>
        <v>4.7222222222222165E-2</v>
      </c>
      <c r="W289" s="141">
        <f>IF(V289="","",IF(SUM(V289-ref!E$38)&gt;0,0,IF(V289=0, "0:00", SUM(V289-ref!E$38))))</f>
        <v>0</v>
      </c>
      <c r="X289" s="137"/>
      <c r="Y289" s="92"/>
      <c r="Z289" s="247"/>
      <c r="AA289" s="142">
        <f t="shared" si="230"/>
        <v>0</v>
      </c>
      <c r="AB289" s="245" t="str">
        <f>IF(AA289="","",IF(SUM(AA289-ref!E$38)&gt;0,0,IF(AA289=0, "0:00", SUM(AA289-ref!E$38))))</f>
        <v>0:00</v>
      </c>
      <c r="AC289" s="29"/>
      <c r="AD289" s="106"/>
      <c r="AE289" s="117" t="s">
        <v>47</v>
      </c>
      <c r="AF289" s="77">
        <f t="shared" si="226"/>
        <v>1</v>
      </c>
      <c r="AG289" s="19"/>
      <c r="AH289" s="178" t="s">
        <v>75</v>
      </c>
      <c r="AI289" s="54" t="s">
        <v>68</v>
      </c>
      <c r="AJ289" s="177" t="s">
        <v>76</v>
      </c>
      <c r="AK289" s="55" t="str" cm="1">
        <f t="array" ref="AK289">IF(ISNUMBER(G290),G290-_xlfn.AGGREGATE(14,6,(K$4:K289&lt;G290)*K$4:K289,1),"")</f>
        <v/>
      </c>
      <c r="AL289" s="20" t="str">
        <f>IF(ISNUMBER(AK289),ABS(IF(SUM(AK289-ref!E$9)&gt;0,0,SUM(AK289-ref!E$9))),"")</f>
        <v/>
      </c>
      <c r="AQ289"/>
    </row>
    <row r="290" spans="2:43" ht="15.75" thickBot="1" x14ac:dyDescent="0.3">
      <c r="B290"/>
      <c r="C290"/>
      <c r="D290"/>
      <c r="E290" s="154">
        <f t="shared" si="227"/>
        <v>44031</v>
      </c>
      <c r="F290" s="164" t="s">
        <v>19</v>
      </c>
      <c r="G290" s="155" t="str">
        <f t="shared" si="223"/>
        <v/>
      </c>
      <c r="H290" s="29"/>
      <c r="I290" s="23">
        <f t="shared" si="228"/>
        <v>0</v>
      </c>
      <c r="J290" s="29"/>
      <c r="K290" s="46" t="str">
        <f t="shared" si="224"/>
        <v/>
      </c>
      <c r="L290" s="21">
        <f>IF(OR(F290="télétravail",F290="férié travaillé",F290="travail"),(J290-H290+IF(H290&gt;J290,1)-I290),INDEX(ref!$E$22:'ref'!$E$37,MATCH(F290,gerald3,0)))</f>
        <v>0</v>
      </c>
      <c r="M290" s="13">
        <f>IF(SUM(L290-ref!E$8)&lt;0,0,SUM(L290-ref!E$8))</f>
        <v>0</v>
      </c>
      <c r="N290" s="252">
        <f>L290-(hs!D289+hs!F289+hs!H289+hs!J289)</f>
        <v>0</v>
      </c>
      <c r="O290" s="8">
        <f>IF(OR(F290="férié travaillé",F290="travail",F290="asa",F290="rtt"),J290-H290+IF(H290&gt;J290,1),INDEX(ref!$E$22:'ref'!$E$37,MATCH(F290,gerald2,0)))</f>
        <v>0</v>
      </c>
      <c r="P290" s="14">
        <f>IF(SUM(O290-ref!E$4)&lt;0,0,SUM(O290-ref!E$4))</f>
        <v>0</v>
      </c>
      <c r="Q290" s="97">
        <f t="shared" si="229"/>
        <v>1.6194444444444445</v>
      </c>
      <c r="S290" s="137"/>
      <c r="T290" s="92"/>
      <c r="U290" s="129"/>
      <c r="V290" s="142">
        <f t="shared" si="225"/>
        <v>0</v>
      </c>
      <c r="W290" s="141" t="str">
        <f>IF(V290="","",IF(SUM(V290-ref!E$38)&gt;0,0,IF(V290=0, "0:00", SUM(V290-ref!E$38))))</f>
        <v>0:00</v>
      </c>
      <c r="X290" s="137"/>
      <c r="Y290" s="92"/>
      <c r="Z290" s="247"/>
      <c r="AA290" s="142">
        <f t="shared" si="230"/>
        <v>0</v>
      </c>
      <c r="AB290" s="245" t="str">
        <f>IF(AA290="","",IF(SUM(AA290-ref!E$38)&gt;0,0,IF(AA290=0, "0:00", SUM(AA290-ref!E$38))))</f>
        <v>0:00</v>
      </c>
      <c r="AC290" s="29"/>
      <c r="AD290" s="106"/>
      <c r="AE290" s="118">
        <f>ref!E$11</f>
        <v>2</v>
      </c>
      <c r="AF290" s="77">
        <f t="shared" si="226"/>
        <v>0</v>
      </c>
      <c r="AG290" s="19"/>
      <c r="AH290" s="178" t="s">
        <v>76</v>
      </c>
      <c r="AI290" s="54" t="s">
        <v>68</v>
      </c>
      <c r="AJ290" s="177" t="s">
        <v>77</v>
      </c>
      <c r="AK290" s="55" t="str" cm="1">
        <f t="array" ref="AK290">IF(ISNUMBER(G291),G291-_xlfn.AGGREGATE(14,6,(K$4:K290&lt;G291)*K$4:K290,1),"")</f>
        <v/>
      </c>
      <c r="AL290" s="20" t="str">
        <f>IF(ISNUMBER(AK290),ABS(IF(SUM(AK290-ref!E$9)&gt;0,0,SUM(AK290-ref!E$9))),"")</f>
        <v/>
      </c>
      <c r="AQ290"/>
    </row>
    <row r="291" spans="2:43" ht="15.75" thickBot="1" x14ac:dyDescent="0.3">
      <c r="B291"/>
      <c r="C291"/>
      <c r="D291"/>
      <c r="E291" s="154">
        <f t="shared" si="227"/>
        <v>44032</v>
      </c>
      <c r="F291" s="165" t="s">
        <v>19</v>
      </c>
      <c r="G291" s="155" t="str">
        <f t="shared" si="223"/>
        <v/>
      </c>
      <c r="H291" s="29"/>
      <c r="I291" s="23">
        <f t="shared" si="228"/>
        <v>0</v>
      </c>
      <c r="J291" s="29"/>
      <c r="K291" s="46" t="str">
        <f t="shared" si="224"/>
        <v/>
      </c>
      <c r="L291" s="21">
        <f>IF(OR(F291="télétravail",F291="férié travaillé",F291="travail"),(J291-H291+IF(H291&gt;J291,1)-I291),INDEX(ref!$E$22:'ref'!$E$37,MATCH(F291,gerald3,0)))</f>
        <v>0</v>
      </c>
      <c r="M291" s="13">
        <f>IF(SUM(L291-ref!E$8)&lt;0,0,SUM(L291-ref!E$8))</f>
        <v>0</v>
      </c>
      <c r="N291" s="252">
        <f>L291-(hs!D290+hs!F290+hs!H290+hs!J290)</f>
        <v>0</v>
      </c>
      <c r="O291" s="8">
        <f>IF(OR(F291="férié travaillé",F291="travail",F291="asa",F291="rtt"),J291-H291+IF(H291&gt;J291,1),INDEX(ref!$E$22:'ref'!$E$37,MATCH(F291,gerald2,0)))</f>
        <v>0</v>
      </c>
      <c r="P291" s="14">
        <f>IF(SUM(O291-ref!E$4)&lt;0,0,SUM(O291-ref!E$4))</f>
        <v>0</v>
      </c>
      <c r="Q291" s="94">
        <f t="shared" si="229"/>
        <v>1.6194444444444445</v>
      </c>
      <c r="S291" s="138"/>
      <c r="T291" s="92"/>
      <c r="U291" s="129"/>
      <c r="V291" s="142">
        <f t="shared" si="225"/>
        <v>0</v>
      </c>
      <c r="W291" s="141" t="str">
        <f>IF(V291="","",IF(SUM(V291-ref!E$38)&gt;0,0,IF(V291=0, "0:00", SUM(V291-ref!E$38))))</f>
        <v>0:00</v>
      </c>
      <c r="X291" s="138"/>
      <c r="Y291" s="92"/>
      <c r="Z291" s="247"/>
      <c r="AA291" s="142">
        <f t="shared" si="230"/>
        <v>0</v>
      </c>
      <c r="AB291" s="246" t="str">
        <f>IF(AA291="","",IF(SUM(AA291-ref!E$38)&gt;0,0,IF(AA291=0, "0:00", SUM(AA291-ref!E$38))))</f>
        <v>0:00</v>
      </c>
      <c r="AC291" s="29"/>
      <c r="AD291" s="106"/>
      <c r="AE291" s="110">
        <f>IF(SUM(Q291-ref!E$11)&lt;0,0,SUM(Q291-ref!E$11))</f>
        <v>0</v>
      </c>
      <c r="AF291" s="77">
        <f t="shared" si="226"/>
        <v>0</v>
      </c>
      <c r="AG291" s="19"/>
      <c r="AQ291"/>
    </row>
    <row r="292" spans="2:43" x14ac:dyDescent="0.25">
      <c r="W292" s="74"/>
      <c r="X292" s="2"/>
      <c r="Z292"/>
      <c r="AA292" s="2"/>
      <c r="AB292" s="2"/>
      <c r="AC292" s="127"/>
      <c r="AQ292"/>
    </row>
    <row r="293" spans="2:43" x14ac:dyDescent="0.25">
      <c r="X293" s="2"/>
      <c r="Z293"/>
      <c r="AA293" s="2"/>
      <c r="AB293" s="2"/>
      <c r="AC293" s="127"/>
      <c r="AQ293"/>
    </row>
    <row r="294" spans="2:43" ht="15.75" thickBot="1" x14ac:dyDescent="0.3">
      <c r="W294" s="74"/>
      <c r="X294" s="2"/>
      <c r="Z294"/>
      <c r="AA294" s="2"/>
      <c r="AB294" s="2"/>
      <c r="AC294" s="127"/>
      <c r="AQ294"/>
    </row>
    <row r="295" spans="2:43" x14ac:dyDescent="0.25">
      <c r="B295" s="78" t="s">
        <v>1</v>
      </c>
      <c r="C295" s="85" t="s">
        <v>90</v>
      </c>
      <c r="D295" s="85"/>
      <c r="E295" s="154">
        <f>DATE(ref!E$2,B299,B297)</f>
        <v>44033</v>
      </c>
      <c r="F295" s="163" t="s">
        <v>21</v>
      </c>
      <c r="G295" s="155" t="str">
        <f t="shared" ref="G295:G301" si="231">IF(AND(J295="",H295=""),"",E295+H295)</f>
        <v/>
      </c>
      <c r="H295" s="29"/>
      <c r="I295" s="23">
        <f>SUM(V295+AA295+AC295)</f>
        <v>0</v>
      </c>
      <c r="J295" s="29"/>
      <c r="K295" s="46" t="str">
        <f t="shared" ref="K295:K301" si="232">IF(AND(H295="",J295=""),"",E295+J295+(H295&gt;J295))</f>
        <v/>
      </c>
      <c r="L295" s="21">
        <f>IF(OR(F295="télétravail",F295="férié travaillé",F295="travail"),(J295-H295+IF(H295&gt;J295,1)-I295),INDEX(ref!$E$22:'ref'!$E$37,MATCH(F295,gerald3,0)))</f>
        <v>0.29166666666666669</v>
      </c>
      <c r="M295" s="13">
        <f>IF(SUM(L295-ref!E$8)&lt;0,0,SUM(L295-ref!E$8))</f>
        <v>0</v>
      </c>
      <c r="N295" s="252">
        <f>L295-(hs!D294+hs!F294+hs!H294+hs!J294)</f>
        <v>0.29166666666666669</v>
      </c>
      <c r="O295" s="8">
        <f>IF(OR(F295="férié travaillé",F295="travail",F295="asa",F295="rtt"),J295-H295+IF(H295&gt;J295,1),INDEX(ref!$E$22:'ref'!$E$37,MATCH(F295,gerald2,0)))</f>
        <v>0.29166666666666669</v>
      </c>
      <c r="P295" s="14">
        <f>IF(SUM(O295-ref!E$4)&lt;0,0,SUM(O295-ref!E$4))</f>
        <v>0</v>
      </c>
      <c r="Q295" s="21">
        <f>L295</f>
        <v>0.29166666666666669</v>
      </c>
      <c r="S295" s="136"/>
      <c r="T295" s="92"/>
      <c r="U295" s="129"/>
      <c r="V295" s="142">
        <f t="shared" ref="V295:V301" si="233">U295-T295</f>
        <v>0</v>
      </c>
      <c r="W295" s="141" t="str">
        <f>IF(V295="","",IF(SUM(V295-ref!E$38)&gt;0,0,IF(V295=0, "0:00", SUM(V295-ref!E$38))))</f>
        <v>0:00</v>
      </c>
      <c r="X295" s="136"/>
      <c r="Y295" s="92"/>
      <c r="Z295" s="247"/>
      <c r="AA295" s="142">
        <f>Z295-Y295</f>
        <v>0</v>
      </c>
      <c r="AB295" s="244" t="str">
        <f>IF(AA295="","",IF(SUM(AA295-ref!E$38)&gt;0,0,IF(AA295=0, "0:00", SUM(AA295-ref!E$38))))</f>
        <v>0:00</v>
      </c>
      <c r="AC295" s="29"/>
      <c r="AD295" s="106"/>
      <c r="AE295" s="111">
        <f>SUM(AF295:AF301)</f>
        <v>5</v>
      </c>
      <c r="AF295" s="77">
        <f t="shared" ref="AF295:AF301" si="234">IF(AND(H295&lt;&gt;"",J295&lt;&gt;""),1,0+OR(N(J294)&lt;N(H294),F295="récupération",F295="congé 1 jour",F295="congé 1/2 jour ",F295="congé 5h24",F295="arrêt maladie",F295="arrêt travail",F295="férié ",F295="congé parentale",F295="congé de naissance"))</f>
        <v>1</v>
      </c>
      <c r="AG295" s="19"/>
      <c r="AH295" s="176" t="s">
        <v>71</v>
      </c>
      <c r="AI295" s="54" t="s">
        <v>68</v>
      </c>
      <c r="AJ295" s="177" t="s">
        <v>72</v>
      </c>
      <c r="AK295" s="55" t="str" cm="1">
        <f t="array" ref="AK295">IF(ISNUMBER(G296),G296-_xlfn.AGGREGATE(14,6,(K$4:K295&lt;G296)*K$4:K295,1),"")</f>
        <v/>
      </c>
      <c r="AL295" s="20" t="str">
        <f>IF(ISNUMBER(AK295),ABS(IF(SUM(AK295-ref!E$9)&gt;0,0,SUM(AK295-ref!E$9))),"")</f>
        <v/>
      </c>
      <c r="AQ295"/>
    </row>
    <row r="296" spans="2:43" x14ac:dyDescent="0.25">
      <c r="B296" s="79" t="s">
        <v>1</v>
      </c>
      <c r="C296" s="85" t="s">
        <v>90</v>
      </c>
      <c r="D296" s="85"/>
      <c r="E296" s="154">
        <f t="shared" ref="E296:E301" si="235">E295+1</f>
        <v>44034</v>
      </c>
      <c r="F296" s="164" t="s">
        <v>21</v>
      </c>
      <c r="G296" s="155" t="str">
        <f t="shared" si="231"/>
        <v/>
      </c>
      <c r="H296" s="29"/>
      <c r="I296" s="23">
        <f t="shared" ref="I296:I301" si="236">SUM(V296+AA296+AC296)</f>
        <v>0</v>
      </c>
      <c r="J296" s="29"/>
      <c r="K296" s="46" t="str">
        <f t="shared" si="232"/>
        <v/>
      </c>
      <c r="L296" s="21">
        <f>IF(OR(F296="télétravail",F296="férié travaillé",F296="travail"),(J296-H296+IF(H296&gt;J296,1)-I296),INDEX(ref!$E$22:'ref'!$E$37,MATCH(F296,gerald3,0)))</f>
        <v>0.29166666666666669</v>
      </c>
      <c r="M296" s="13">
        <f>IF(SUM(L296-ref!E$8)&lt;0,0,SUM(L296-ref!E$8))</f>
        <v>0</v>
      </c>
      <c r="N296" s="252">
        <f>L296-(hs!D295+hs!F295+hs!H295+hs!J295)</f>
        <v>0.29166666666666669</v>
      </c>
      <c r="O296" s="8">
        <f>IF(OR(F296="férié travaillé",F296="travail",F296="asa",F296="rtt"),J296-H296+IF(H296&gt;J296,1),INDEX(ref!$E$22:'ref'!$E$37,MATCH(F296,gerald2,0)))</f>
        <v>0.29166666666666669</v>
      </c>
      <c r="P296" s="14">
        <f>IF(SUM(O296-ref!E$4)&lt;0,0,SUM(O296-ref!E$4))</f>
        <v>0</v>
      </c>
      <c r="Q296" s="24">
        <f t="shared" ref="Q296:Q301" si="237">Q295+L296</f>
        <v>0.58333333333333337</v>
      </c>
      <c r="S296" s="137"/>
      <c r="T296" s="92"/>
      <c r="U296" s="129"/>
      <c r="V296" s="142">
        <f t="shared" si="233"/>
        <v>0</v>
      </c>
      <c r="W296" s="141" t="str">
        <f>IF(V296="","",IF(SUM(V296-ref!E$38)&gt;0,0,IF(V296=0, "0:00", SUM(V296-ref!E$38))))</f>
        <v>0:00</v>
      </c>
      <c r="X296" s="137"/>
      <c r="Y296" s="92"/>
      <c r="Z296" s="247"/>
      <c r="AA296" s="142">
        <f t="shared" ref="AA296:AA301" si="238">Z296-Y296</f>
        <v>0</v>
      </c>
      <c r="AB296" s="245" t="str">
        <f>IF(AA296="","",IF(SUM(AA296-ref!E$38)&gt;0,0,IF(AA296=0, "0:00", SUM(AA296-ref!E$38))))</f>
        <v>0:00</v>
      </c>
      <c r="AC296" s="29"/>
      <c r="AD296" s="106"/>
      <c r="AE296" s="112">
        <f>IF(SUM(AE295-ref!E$7)&lt;0,0,SUM(AE295-ref!E$7))</f>
        <v>0</v>
      </c>
      <c r="AF296" s="77">
        <f t="shared" si="234"/>
        <v>1</v>
      </c>
      <c r="AG296" s="19"/>
      <c r="AH296" s="178" t="s">
        <v>72</v>
      </c>
      <c r="AI296" s="54" t="s">
        <v>68</v>
      </c>
      <c r="AJ296" s="177" t="s">
        <v>73</v>
      </c>
      <c r="AK296" s="55" t="str" cm="1">
        <f t="array" ref="AK296">IF(ISNUMBER(G297),G297-_xlfn.AGGREGATE(14,6,(K$4:K296&lt;G297)*K$4:K296,1),"")</f>
        <v/>
      </c>
      <c r="AL296" s="20" t="str">
        <f>IF(ISNUMBER(AK296),ABS(IF(SUM(AK296-ref!E$9)&gt;0,0,SUM(AK296-ref!E$9))),"")</f>
        <v/>
      </c>
      <c r="AQ296"/>
    </row>
    <row r="297" spans="2:43" x14ac:dyDescent="0.25">
      <c r="B297" s="80">
        <v>22</v>
      </c>
      <c r="C297" s="85" t="s">
        <v>90</v>
      </c>
      <c r="D297" s="85"/>
      <c r="E297" s="154">
        <f t="shared" si="235"/>
        <v>44035</v>
      </c>
      <c r="F297" s="164" t="s">
        <v>21</v>
      </c>
      <c r="G297" s="155" t="str">
        <f t="shared" si="231"/>
        <v/>
      </c>
      <c r="H297" s="29"/>
      <c r="I297" s="23">
        <f t="shared" si="236"/>
        <v>0</v>
      </c>
      <c r="J297" s="29"/>
      <c r="K297" s="46" t="str">
        <f t="shared" si="232"/>
        <v/>
      </c>
      <c r="L297" s="21">
        <f>IF(OR(F297="télétravail",F297="férié travaillé",F297="travail"),(J297-H297+IF(H297&gt;J297,1)-I297),INDEX(ref!$E$22:'ref'!$E$37,MATCH(F297,gerald3,0)))</f>
        <v>0.29166666666666669</v>
      </c>
      <c r="M297" s="13">
        <f>IF(SUM(L297-ref!E$8)&lt;0,0,SUM(L297-ref!E$8))</f>
        <v>0</v>
      </c>
      <c r="N297" s="252">
        <f>L297-(hs!D296+hs!F296+hs!H296+hs!J296)</f>
        <v>0.29166666666666669</v>
      </c>
      <c r="O297" s="8">
        <f>IF(OR(F297="férié travaillé",F297="travail",F297="asa",F297="rtt"),J297-H297+IF(H297&gt;J297,1),INDEX(ref!$E$22:'ref'!$E$37,MATCH(F297,gerald2,0)))</f>
        <v>0.29166666666666669</v>
      </c>
      <c r="P297" s="14">
        <f>IF(SUM(O297-ref!E$4)&lt;0,0,SUM(O297-ref!E$4))</f>
        <v>0</v>
      </c>
      <c r="Q297" s="24">
        <f t="shared" si="237"/>
        <v>0.875</v>
      </c>
      <c r="S297" s="137"/>
      <c r="T297" s="92"/>
      <c r="U297" s="129"/>
      <c r="V297" s="142">
        <f t="shared" si="233"/>
        <v>0</v>
      </c>
      <c r="W297" s="141" t="str">
        <f>IF(V297="","",IF(SUM(V297-ref!E$38)&gt;0,0,IF(V297=0, "0:00", SUM(V297-ref!E$38))))</f>
        <v>0:00</v>
      </c>
      <c r="X297" s="137"/>
      <c r="Y297" s="92"/>
      <c r="Z297" s="247"/>
      <c r="AA297" s="142">
        <f t="shared" si="238"/>
        <v>0</v>
      </c>
      <c r="AB297" s="245" t="str">
        <f>IF(AA297="","",IF(SUM(AA297-ref!E$38)&gt;0,0,IF(AA297=0, "0:00", SUM(AA297-ref!E$38))))</f>
        <v>0:00</v>
      </c>
      <c r="AC297" s="29"/>
      <c r="AD297" s="106"/>
      <c r="AE297" s="113" t="s">
        <v>29</v>
      </c>
      <c r="AF297" s="77">
        <f t="shared" si="234"/>
        <v>1</v>
      </c>
      <c r="AG297" s="19"/>
      <c r="AH297" s="178" t="s">
        <v>73</v>
      </c>
      <c r="AI297" s="54" t="s">
        <v>68</v>
      </c>
      <c r="AJ297" s="177" t="s">
        <v>74</v>
      </c>
      <c r="AK297" s="55" t="str" cm="1">
        <f t="array" ref="AK297">IF(ISNUMBER(G298),G298-_xlfn.AGGREGATE(14,6,(K$4:K297&lt;G298)*K$4:K297,1),"")</f>
        <v/>
      </c>
      <c r="AL297" s="20" t="str">
        <f>IF(ISNUMBER(AK297),ABS(IF(SUM(AK297-ref!E$9)&gt;0,0,SUM(AK297-ref!E$9))),"")</f>
        <v/>
      </c>
      <c r="AQ297"/>
    </row>
    <row r="298" spans="2:43" x14ac:dyDescent="0.25">
      <c r="B298" s="79" t="s">
        <v>58</v>
      </c>
      <c r="C298" s="85" t="s">
        <v>90</v>
      </c>
      <c r="D298" s="85"/>
      <c r="E298" s="154">
        <f t="shared" si="235"/>
        <v>44036</v>
      </c>
      <c r="F298" s="164" t="s">
        <v>21</v>
      </c>
      <c r="G298" s="155" t="str">
        <f t="shared" si="231"/>
        <v/>
      </c>
      <c r="H298" s="29"/>
      <c r="I298" s="23">
        <f t="shared" si="236"/>
        <v>0</v>
      </c>
      <c r="J298" s="29"/>
      <c r="K298" s="46" t="str">
        <f t="shared" si="232"/>
        <v/>
      </c>
      <c r="L298" s="21">
        <f>IF(OR(F298="télétravail",F298="férié travaillé",F298="travail"),(J298-H298+IF(H298&gt;J298,1)-I298),INDEX(ref!$E$22:'ref'!$E$37,MATCH(F298,gerald3,0)))</f>
        <v>0.29166666666666669</v>
      </c>
      <c r="M298" s="13">
        <f>IF(SUM(L298-ref!E$8)&lt;0,0,SUM(L298-ref!E$8))</f>
        <v>0</v>
      </c>
      <c r="N298" s="252">
        <f>L298-(hs!D297+hs!F297+hs!H297+hs!J297)</f>
        <v>0.29166666666666669</v>
      </c>
      <c r="O298" s="8">
        <f>IF(OR(F298="férié travaillé",F298="travail",F298="asa",F298="rtt"),J298-H298+IF(H298&gt;J298,1),INDEX(ref!$E$22:'ref'!$E$37,MATCH(F298,gerald2,0)))</f>
        <v>0.29166666666666669</v>
      </c>
      <c r="P298" s="14">
        <f>IF(SUM(O298-ref!E$4)&lt;0,0,SUM(O298-ref!E$4))</f>
        <v>0</v>
      </c>
      <c r="Q298" s="24">
        <f t="shared" si="237"/>
        <v>1.1666666666666667</v>
      </c>
      <c r="S298" s="137"/>
      <c r="T298" s="92"/>
      <c r="U298" s="129"/>
      <c r="V298" s="142">
        <f t="shared" si="233"/>
        <v>0</v>
      </c>
      <c r="W298" s="141" t="str">
        <f>IF(V298="","",IF(SUM(V298-ref!E$38)&gt;0,0,IF(V298=0, "0:00", SUM(V298-ref!E$38))))</f>
        <v>0:00</v>
      </c>
      <c r="X298" s="137"/>
      <c r="Y298" s="92"/>
      <c r="Z298" s="247"/>
      <c r="AA298" s="142">
        <f t="shared" si="238"/>
        <v>0</v>
      </c>
      <c r="AB298" s="245" t="str">
        <f>IF(AA298="","",IF(SUM(AA298-ref!E$38)&gt;0,0,IF(AA298=0, "0:00", SUM(AA298-ref!E$38))))</f>
        <v>0:00</v>
      </c>
      <c r="AC298" s="29"/>
      <c r="AD298" s="106"/>
      <c r="AE298" s="114">
        <f>Q301</f>
        <v>1.4583333333333335</v>
      </c>
      <c r="AF298" s="77">
        <f t="shared" si="234"/>
        <v>1</v>
      </c>
      <c r="AG298" s="19"/>
      <c r="AH298" s="178" t="s">
        <v>74</v>
      </c>
      <c r="AI298" s="54" t="s">
        <v>68</v>
      </c>
      <c r="AJ298" s="177" t="s">
        <v>75</v>
      </c>
      <c r="AK298" s="55" t="str" cm="1">
        <f t="array" ref="AK298">IF(ISNUMBER(G299),G299-_xlfn.AGGREGATE(14,6,(K$4:K298&lt;G299)*K$4:K298,1),"")</f>
        <v/>
      </c>
      <c r="AL298" s="20" t="str">
        <f>IF(ISNUMBER(AK298),ABS(IF(SUM(AK298-ref!E$9)&gt;0,0,SUM(AK298-ref!E$9))),"")</f>
        <v/>
      </c>
      <c r="AQ298"/>
    </row>
    <row r="299" spans="2:43" x14ac:dyDescent="0.25">
      <c r="B299" s="81">
        <v>7</v>
      </c>
      <c r="C299" s="86" t="s">
        <v>90</v>
      </c>
      <c r="D299" s="86"/>
      <c r="E299" s="154">
        <f t="shared" si="235"/>
        <v>44037</v>
      </c>
      <c r="F299" s="164" t="s">
        <v>21</v>
      </c>
      <c r="G299" s="155" t="str">
        <f t="shared" si="231"/>
        <v/>
      </c>
      <c r="H299" s="29"/>
      <c r="I299" s="23">
        <f t="shared" si="236"/>
        <v>0</v>
      </c>
      <c r="J299" s="29"/>
      <c r="K299" s="46" t="str">
        <f t="shared" si="232"/>
        <v/>
      </c>
      <c r="L299" s="21">
        <f>IF(OR(F299="télétravail",F299="férié travaillé",F299="travail"),(J299-H299+IF(H299&gt;J299,1)-I299),INDEX(ref!$E$22:'ref'!$E$37,MATCH(F299,gerald3,0)))</f>
        <v>0.29166666666666669</v>
      </c>
      <c r="M299" s="13">
        <f>IF(SUM(L299-ref!E$8)&lt;0,0,SUM(L299-ref!E$8))</f>
        <v>0</v>
      </c>
      <c r="N299" s="252">
        <f>L299-(hs!D298+hs!F298+hs!H298+hs!J298)</f>
        <v>0.29166666666666669</v>
      </c>
      <c r="O299" s="8">
        <f>IF(OR(F299="férié travaillé",F299="travail",F299="asa",F299="rtt"),J299-H299+IF(H299&gt;J299,1),INDEX(ref!$E$22:'ref'!$E$37,MATCH(F299,gerald2,0)))</f>
        <v>0.29166666666666669</v>
      </c>
      <c r="P299" s="14">
        <f>IF(SUM(O299-ref!E$4)&lt;0,0,SUM(O299-ref!E$4))</f>
        <v>0</v>
      </c>
      <c r="Q299" s="24">
        <f t="shared" si="237"/>
        <v>1.4583333333333335</v>
      </c>
      <c r="S299" s="137"/>
      <c r="T299" s="92"/>
      <c r="U299" s="129"/>
      <c r="V299" s="142">
        <f t="shared" si="233"/>
        <v>0</v>
      </c>
      <c r="W299" s="141" t="str">
        <f>IF(V299="","",IF(SUM(V299-ref!E$38)&gt;0,0,IF(V299=0, "0:00", SUM(V299-ref!E$38))))</f>
        <v>0:00</v>
      </c>
      <c r="X299" s="137"/>
      <c r="Y299" s="92"/>
      <c r="Z299" s="247"/>
      <c r="AA299" s="142">
        <f t="shared" si="238"/>
        <v>0</v>
      </c>
      <c r="AB299" s="245" t="str">
        <f>IF(AA299="","",IF(SUM(AA299-ref!E$38)&gt;0,0,IF(AA299=0, "0:00", SUM(AA299-ref!E$38))))</f>
        <v>0:00</v>
      </c>
      <c r="AC299" s="29"/>
      <c r="AD299" s="106"/>
      <c r="AE299" s="117" t="s">
        <v>47</v>
      </c>
      <c r="AF299" s="77">
        <f t="shared" si="234"/>
        <v>1</v>
      </c>
      <c r="AG299" s="19"/>
      <c r="AH299" s="178" t="s">
        <v>75</v>
      </c>
      <c r="AI299" s="54" t="s">
        <v>68</v>
      </c>
      <c r="AJ299" s="177" t="s">
        <v>76</v>
      </c>
      <c r="AK299" s="55" t="str" cm="1">
        <f t="array" ref="AK299">IF(ISNUMBER(G300),G300-_xlfn.AGGREGATE(14,6,(K$4:K299&lt;G300)*K$4:K299,1),"")</f>
        <v/>
      </c>
      <c r="AL299" s="20" t="str">
        <f>IF(ISNUMBER(AK299),ABS(IF(SUM(AK299-ref!E$9)&gt;0,0,SUM(AK299-ref!E$9))),"")</f>
        <v/>
      </c>
      <c r="AQ299"/>
    </row>
    <row r="300" spans="2:43" ht="15.75" thickBot="1" x14ac:dyDescent="0.3">
      <c r="B300"/>
      <c r="C300"/>
      <c r="D300"/>
      <c r="E300" s="154">
        <f t="shared" si="235"/>
        <v>44038</v>
      </c>
      <c r="F300" s="164" t="s">
        <v>19</v>
      </c>
      <c r="G300" s="155" t="str">
        <f t="shared" si="231"/>
        <v/>
      </c>
      <c r="H300" s="29"/>
      <c r="I300" s="23">
        <f t="shared" si="236"/>
        <v>0</v>
      </c>
      <c r="J300" s="29"/>
      <c r="K300" s="46" t="str">
        <f t="shared" si="232"/>
        <v/>
      </c>
      <c r="L300" s="21">
        <f>IF(OR(F300="télétravail",F300="férié travaillé",F300="travail"),(J300-H300+IF(H300&gt;J300,1)-I300),INDEX(ref!$E$22:'ref'!$E$37,MATCH(F300,gerald3,0)))</f>
        <v>0</v>
      </c>
      <c r="M300" s="13">
        <f>IF(SUM(L300-ref!E$8)&lt;0,0,SUM(L300-ref!E$8))</f>
        <v>0</v>
      </c>
      <c r="N300" s="252">
        <f>L300-(hs!D299+hs!F299+hs!H299+hs!J299)</f>
        <v>0</v>
      </c>
      <c r="O300" s="8">
        <f>IF(OR(F300="férié travaillé",F300="travail",F300="asa",F300="rtt"),J300-H300+IF(H300&gt;J300,1),INDEX(ref!$E$22:'ref'!$E$37,MATCH(F300,gerald2,0)))</f>
        <v>0</v>
      </c>
      <c r="P300" s="14">
        <f>IF(SUM(O300-ref!E$4)&lt;0,0,SUM(O300-ref!E$4))</f>
        <v>0</v>
      </c>
      <c r="Q300" s="97">
        <f t="shared" si="237"/>
        <v>1.4583333333333335</v>
      </c>
      <c r="S300" s="137"/>
      <c r="T300" s="92"/>
      <c r="U300" s="129"/>
      <c r="V300" s="142">
        <f t="shared" si="233"/>
        <v>0</v>
      </c>
      <c r="W300" s="141" t="str">
        <f>IF(V300="","",IF(SUM(V300-ref!E$38)&gt;0,0,IF(V300=0, "0:00", SUM(V300-ref!E$38))))</f>
        <v>0:00</v>
      </c>
      <c r="X300" s="137"/>
      <c r="Y300" s="92"/>
      <c r="Z300" s="247"/>
      <c r="AA300" s="142">
        <f t="shared" si="238"/>
        <v>0</v>
      </c>
      <c r="AB300" s="245" t="str">
        <f>IF(AA300="","",IF(SUM(AA300-ref!E$38)&gt;0,0,IF(AA300=0, "0:00", SUM(AA300-ref!E$38))))</f>
        <v>0:00</v>
      </c>
      <c r="AC300" s="29"/>
      <c r="AD300" s="106"/>
      <c r="AE300" s="118">
        <f>ref!E$11</f>
        <v>2</v>
      </c>
      <c r="AF300" s="77">
        <f t="shared" si="234"/>
        <v>0</v>
      </c>
      <c r="AG300" s="19"/>
      <c r="AH300" s="178" t="s">
        <v>76</v>
      </c>
      <c r="AI300" s="54" t="s">
        <v>68</v>
      </c>
      <c r="AJ300" s="177" t="s">
        <v>77</v>
      </c>
      <c r="AK300" s="55" t="str" cm="1">
        <f t="array" ref="AK300">IF(ISNUMBER(G301),G301-_xlfn.AGGREGATE(14,6,(K$4:K300&lt;G301)*K$4:K300,1),"")</f>
        <v/>
      </c>
      <c r="AL300" s="20" t="str">
        <f>IF(ISNUMBER(AK300),ABS(IF(SUM(AK300-ref!E$9)&gt;0,0,SUM(AK300-ref!E$9))),"")</f>
        <v/>
      </c>
      <c r="AQ300"/>
    </row>
    <row r="301" spans="2:43" ht="15.75" thickBot="1" x14ac:dyDescent="0.3">
      <c r="B301"/>
      <c r="C301"/>
      <c r="D301"/>
      <c r="E301" s="154">
        <f t="shared" si="235"/>
        <v>44039</v>
      </c>
      <c r="F301" s="165" t="s">
        <v>19</v>
      </c>
      <c r="G301" s="155" t="str">
        <f t="shared" si="231"/>
        <v/>
      </c>
      <c r="H301" s="29"/>
      <c r="I301" s="23">
        <f t="shared" si="236"/>
        <v>0</v>
      </c>
      <c r="J301" s="29"/>
      <c r="K301" s="46" t="str">
        <f t="shared" si="232"/>
        <v/>
      </c>
      <c r="L301" s="21">
        <f>IF(OR(F301="télétravail",F301="férié travaillé",F301="travail"),(J301-H301+IF(H301&gt;J301,1)-I301),INDEX(ref!$E$22:'ref'!$E$37,MATCH(F301,gerald3,0)))</f>
        <v>0</v>
      </c>
      <c r="M301" s="13">
        <f>IF(SUM(L301-ref!E$8)&lt;0,0,SUM(L301-ref!E$8))</f>
        <v>0</v>
      </c>
      <c r="N301" s="252">
        <f>L301-(hs!D300+hs!F300+hs!H300+hs!J300)</f>
        <v>0</v>
      </c>
      <c r="O301" s="8">
        <f>IF(OR(F301="férié travaillé",F301="travail",F301="asa",F301="rtt"),J301-H301+IF(H301&gt;J301,1),INDEX(ref!$E$22:'ref'!$E$37,MATCH(F301,gerald2,0)))</f>
        <v>0</v>
      </c>
      <c r="P301" s="14">
        <f>IF(SUM(O301-ref!E$4)&lt;0,0,SUM(O301-ref!E$4))</f>
        <v>0</v>
      </c>
      <c r="Q301" s="94">
        <f t="shared" si="237"/>
        <v>1.4583333333333335</v>
      </c>
      <c r="S301" s="138"/>
      <c r="T301" s="92"/>
      <c r="U301" s="129"/>
      <c r="V301" s="142">
        <f t="shared" si="233"/>
        <v>0</v>
      </c>
      <c r="W301" s="141" t="str">
        <f>IF(V301="","",IF(SUM(V301-ref!E$38)&gt;0,0,IF(V301=0, "0:00", SUM(V301-ref!E$38))))</f>
        <v>0:00</v>
      </c>
      <c r="X301" s="138"/>
      <c r="Y301" s="92"/>
      <c r="Z301" s="247"/>
      <c r="AA301" s="142">
        <f t="shared" si="238"/>
        <v>0</v>
      </c>
      <c r="AB301" s="246" t="str">
        <f>IF(AA301="","",IF(SUM(AA301-ref!E$38)&gt;0,0,IF(AA301=0, "0:00", SUM(AA301-ref!E$38))))</f>
        <v>0:00</v>
      </c>
      <c r="AC301" s="29"/>
      <c r="AD301" s="106"/>
      <c r="AE301" s="110">
        <f>IF(SUM(Q301-ref!E$11)&lt;0,0,SUM(Q301-ref!E$11))</f>
        <v>0</v>
      </c>
      <c r="AF301" s="77">
        <f t="shared" si="234"/>
        <v>0</v>
      </c>
      <c r="AG301" s="19"/>
      <c r="AQ301"/>
    </row>
    <row r="302" spans="2:43" x14ac:dyDescent="0.25">
      <c r="W302" s="74"/>
      <c r="X302" s="2"/>
      <c r="Z302"/>
      <c r="AA302" s="2"/>
      <c r="AB302" s="2"/>
      <c r="AC302" s="127"/>
      <c r="AQ302"/>
    </row>
    <row r="303" spans="2:43" x14ac:dyDescent="0.25">
      <c r="X303" s="2"/>
      <c r="Z303"/>
      <c r="AA303" s="2"/>
      <c r="AB303" s="2"/>
      <c r="AC303" s="127"/>
      <c r="AQ303"/>
    </row>
    <row r="304" spans="2:43" ht="15.75" thickBot="1" x14ac:dyDescent="0.3">
      <c r="W304" s="74"/>
      <c r="X304" s="2"/>
      <c r="Z304"/>
      <c r="AA304" s="2"/>
      <c r="AB304" s="2"/>
      <c r="AC304" s="127"/>
      <c r="AQ304"/>
    </row>
    <row r="305" spans="2:43" x14ac:dyDescent="0.25">
      <c r="B305" s="78" t="s">
        <v>1</v>
      </c>
      <c r="C305" s="85" t="s">
        <v>90</v>
      </c>
      <c r="D305" s="85"/>
      <c r="E305" s="154">
        <f>DATE(ref!E$2,B309,B307)</f>
        <v>44040</v>
      </c>
      <c r="F305" s="163" t="s">
        <v>21</v>
      </c>
      <c r="G305" s="155" t="str">
        <f t="shared" ref="G305:G311" si="239">IF(AND(J305="",H305=""),"",E305+H305)</f>
        <v/>
      </c>
      <c r="H305" s="29"/>
      <c r="I305" s="23">
        <f>SUM(V305+AA305+AC305)</f>
        <v>0</v>
      </c>
      <c r="J305" s="29"/>
      <c r="K305" s="46" t="str">
        <f t="shared" ref="K305:K311" si="240">IF(AND(H305="",J305=""),"",E305+J305+(H305&gt;J305))</f>
        <v/>
      </c>
      <c r="L305" s="21">
        <f>IF(OR(F305="télétravail",F305="férié travaillé",F305="travail"),(J305-H305+IF(H305&gt;J305,1)-I305),INDEX(ref!$E$22:'ref'!$E$37,MATCH(F305,gerald3,0)))</f>
        <v>0.29166666666666669</v>
      </c>
      <c r="M305" s="13">
        <f>IF(SUM(L305-ref!E$8)&lt;0,0,SUM(L305-ref!E$8))</f>
        <v>0</v>
      </c>
      <c r="N305" s="252">
        <f>L305-(hs!D304+hs!F304+hs!H304+hs!J304)</f>
        <v>0.29166666666666669</v>
      </c>
      <c r="O305" s="8">
        <f>IF(OR(F305="férié travaillé",F305="travail",F305="asa",F305="rtt"),J305-H305+IF(H305&gt;J305,1),INDEX(ref!$E$22:'ref'!$E$37,MATCH(F305,gerald2,0)))</f>
        <v>0.29166666666666669</v>
      </c>
      <c r="P305" s="14">
        <f>IF(SUM(O305-ref!E$4)&lt;0,0,SUM(O305-ref!E$4))</f>
        <v>0</v>
      </c>
      <c r="Q305" s="21">
        <f>L305</f>
        <v>0.29166666666666669</v>
      </c>
      <c r="S305" s="136"/>
      <c r="T305" s="92"/>
      <c r="U305" s="129"/>
      <c r="V305" s="142">
        <f t="shared" ref="V305:V311" si="241">U305-T305</f>
        <v>0</v>
      </c>
      <c r="W305" s="141" t="str">
        <f>IF(V305="","",IF(SUM(V305-ref!E$38)&gt;0,0,IF(V305=0, "0:00", SUM(V305-ref!E$38))))</f>
        <v>0:00</v>
      </c>
      <c r="X305" s="136"/>
      <c r="Y305" s="92"/>
      <c r="Z305" s="247"/>
      <c r="AA305" s="142">
        <f>Z305-Y305</f>
        <v>0</v>
      </c>
      <c r="AB305" s="244" t="str">
        <f>IF(AA305="","",IF(SUM(AA305-ref!E$38)&gt;0,0,IF(AA305=0, "0:00", SUM(AA305-ref!E$38))))</f>
        <v>0:00</v>
      </c>
      <c r="AC305" s="29"/>
      <c r="AD305" s="106"/>
      <c r="AE305" s="111">
        <f>SUM(AF305:AF311)</f>
        <v>5</v>
      </c>
      <c r="AF305" s="77">
        <f t="shared" ref="AF305:AF311" si="242">IF(AND(H305&lt;&gt;"",J305&lt;&gt;""),1,0+OR(N(J304)&lt;N(H304),F305="récupération",F305="congé 1 jour",F305="congé 1/2 jour ",F305="congé 5h24",F305="arrêt maladie",F305="arrêt travail",F305="férié ",F305="congé parentale",F305="congé de naissance"))</f>
        <v>1</v>
      </c>
      <c r="AG305" s="19"/>
      <c r="AH305" s="176" t="s">
        <v>71</v>
      </c>
      <c r="AI305" s="54" t="s">
        <v>68</v>
      </c>
      <c r="AJ305" s="177" t="s">
        <v>72</v>
      </c>
      <c r="AK305" s="55" t="str" cm="1">
        <f t="array" ref="AK305">IF(ISNUMBER(G306),G306-_xlfn.AGGREGATE(14,6,(K$4:K305&lt;G306)*K$4:K305,1),"")</f>
        <v/>
      </c>
      <c r="AL305" s="20" t="str">
        <f>IF(ISNUMBER(AK305),ABS(IF(SUM(AK305-ref!E$9)&gt;0,0,SUM(AK305-ref!E$9))),"")</f>
        <v/>
      </c>
      <c r="AQ305"/>
    </row>
    <row r="306" spans="2:43" x14ac:dyDescent="0.25">
      <c r="B306" s="79" t="s">
        <v>1</v>
      </c>
      <c r="C306" s="85" t="s">
        <v>90</v>
      </c>
      <c r="D306" s="85"/>
      <c r="E306" s="154">
        <f t="shared" ref="E306:E311" si="243">E305+1</f>
        <v>44041</v>
      </c>
      <c r="F306" s="164" t="s">
        <v>21</v>
      </c>
      <c r="G306" s="155" t="str">
        <f t="shared" si="239"/>
        <v/>
      </c>
      <c r="H306" s="29"/>
      <c r="I306" s="23">
        <f t="shared" ref="I306:I311" si="244">SUM(V306+AA306+AC306)</f>
        <v>0</v>
      </c>
      <c r="J306" s="29"/>
      <c r="K306" s="46" t="str">
        <f t="shared" si="240"/>
        <v/>
      </c>
      <c r="L306" s="21">
        <f>IF(OR(F306="télétravail",F306="férié travaillé",F306="travail"),(J306-H306+IF(H306&gt;J306,1)-I306),INDEX(ref!$E$22:'ref'!$E$37,MATCH(F306,gerald3,0)))</f>
        <v>0.29166666666666669</v>
      </c>
      <c r="M306" s="13">
        <f>IF(SUM(L306-ref!E$8)&lt;0,0,SUM(L306-ref!E$8))</f>
        <v>0</v>
      </c>
      <c r="N306" s="252">
        <f>L306-(hs!D305+hs!F305+hs!H305+hs!J305)</f>
        <v>0.29166666666666669</v>
      </c>
      <c r="O306" s="8">
        <f>IF(OR(F306="férié travaillé",F306="travail",F306="asa",F306="rtt"),J306-H306+IF(H306&gt;J306,1),INDEX(ref!$E$22:'ref'!$E$37,MATCH(F306,gerald2,0)))</f>
        <v>0.29166666666666669</v>
      </c>
      <c r="P306" s="14">
        <f>IF(SUM(O306-ref!E$4)&lt;0,0,SUM(O306-ref!E$4))</f>
        <v>0</v>
      </c>
      <c r="Q306" s="24">
        <f t="shared" ref="Q306:Q311" si="245">Q305+L306</f>
        <v>0.58333333333333337</v>
      </c>
      <c r="S306" s="137"/>
      <c r="T306" s="92"/>
      <c r="U306" s="129"/>
      <c r="V306" s="142">
        <f t="shared" si="241"/>
        <v>0</v>
      </c>
      <c r="W306" s="141" t="str">
        <f>IF(V306="","",IF(SUM(V306-ref!E$38)&gt;0,0,IF(V306=0, "0:00", SUM(V306-ref!E$38))))</f>
        <v>0:00</v>
      </c>
      <c r="X306" s="137"/>
      <c r="Y306" s="92"/>
      <c r="Z306" s="247"/>
      <c r="AA306" s="142">
        <f t="shared" ref="AA306:AA311" si="246">Z306-Y306</f>
        <v>0</v>
      </c>
      <c r="AB306" s="245" t="str">
        <f>IF(AA306="","",IF(SUM(AA306-ref!E$38)&gt;0,0,IF(AA306=0, "0:00", SUM(AA306-ref!E$38))))</f>
        <v>0:00</v>
      </c>
      <c r="AC306" s="29"/>
      <c r="AD306" s="106"/>
      <c r="AE306" s="112">
        <f>IF(SUM(AE305-ref!E$7)&lt;0,0,SUM(AE305-ref!E$7))</f>
        <v>0</v>
      </c>
      <c r="AF306" s="77">
        <f t="shared" si="242"/>
        <v>1</v>
      </c>
      <c r="AG306" s="19"/>
      <c r="AH306" s="178" t="s">
        <v>72</v>
      </c>
      <c r="AI306" s="54" t="s">
        <v>68</v>
      </c>
      <c r="AJ306" s="177" t="s">
        <v>73</v>
      </c>
      <c r="AK306" s="55" t="str" cm="1">
        <f t="array" ref="AK306">IF(ISNUMBER(G307),G307-_xlfn.AGGREGATE(14,6,(K$4:K306&lt;G307)*K$4:K306,1),"")</f>
        <v/>
      </c>
      <c r="AL306" s="20" t="str">
        <f>IF(ISNUMBER(AK306),ABS(IF(SUM(AK306-ref!E$9)&gt;0,0,SUM(AK306-ref!E$9))),"")</f>
        <v/>
      </c>
      <c r="AQ306"/>
    </row>
    <row r="307" spans="2:43" x14ac:dyDescent="0.25">
      <c r="B307" s="80">
        <v>29</v>
      </c>
      <c r="C307" s="85" t="s">
        <v>90</v>
      </c>
      <c r="D307" s="85"/>
      <c r="E307" s="154">
        <f t="shared" si="243"/>
        <v>44042</v>
      </c>
      <c r="F307" s="164" t="s">
        <v>21</v>
      </c>
      <c r="G307" s="155" t="str">
        <f t="shared" si="239"/>
        <v/>
      </c>
      <c r="H307" s="29"/>
      <c r="I307" s="23">
        <f t="shared" si="244"/>
        <v>0</v>
      </c>
      <c r="J307" s="29"/>
      <c r="K307" s="46" t="str">
        <f t="shared" si="240"/>
        <v/>
      </c>
      <c r="L307" s="21">
        <f>IF(OR(F307="télétravail",F307="férié travaillé",F307="travail"),(J307-H307+IF(H307&gt;J307,1)-I307),INDEX(ref!$E$22:'ref'!$E$37,MATCH(F307,gerald3,0)))</f>
        <v>0.29166666666666669</v>
      </c>
      <c r="M307" s="13">
        <f>IF(SUM(L307-ref!E$8)&lt;0,0,SUM(L307-ref!E$8))</f>
        <v>0</v>
      </c>
      <c r="N307" s="252">
        <f>L307-(hs!D306+hs!F306+hs!H306+hs!J306)</f>
        <v>0.29166666666666669</v>
      </c>
      <c r="O307" s="8">
        <f>IF(OR(F307="férié travaillé",F307="travail",F307="asa",F307="rtt"),J307-H307+IF(H307&gt;J307,1),INDEX(ref!$E$22:'ref'!$E$37,MATCH(F307,gerald2,0)))</f>
        <v>0.29166666666666669</v>
      </c>
      <c r="P307" s="14">
        <f>IF(SUM(O307-ref!E$4)&lt;0,0,SUM(O307-ref!E$4))</f>
        <v>0</v>
      </c>
      <c r="Q307" s="24">
        <f t="shared" si="245"/>
        <v>0.875</v>
      </c>
      <c r="S307" s="137"/>
      <c r="T307" s="92"/>
      <c r="U307" s="129"/>
      <c r="V307" s="142">
        <f t="shared" si="241"/>
        <v>0</v>
      </c>
      <c r="W307" s="141" t="str">
        <f>IF(V307="","",IF(SUM(V307-ref!E$38)&gt;0,0,IF(V307=0, "0:00", SUM(V307-ref!E$38))))</f>
        <v>0:00</v>
      </c>
      <c r="X307" s="137"/>
      <c r="Y307" s="92"/>
      <c r="Z307" s="247"/>
      <c r="AA307" s="142">
        <f t="shared" si="246"/>
        <v>0</v>
      </c>
      <c r="AB307" s="245" t="str">
        <f>IF(AA307="","",IF(SUM(AA307-ref!E$38)&gt;0,0,IF(AA307=0, "0:00", SUM(AA307-ref!E$38))))</f>
        <v>0:00</v>
      </c>
      <c r="AC307" s="29"/>
      <c r="AD307" s="106"/>
      <c r="AE307" s="113" t="s">
        <v>29</v>
      </c>
      <c r="AF307" s="77">
        <f t="shared" si="242"/>
        <v>1</v>
      </c>
      <c r="AG307" s="19"/>
      <c r="AH307" s="178" t="s">
        <v>73</v>
      </c>
      <c r="AI307" s="54" t="s">
        <v>68</v>
      </c>
      <c r="AJ307" s="177" t="s">
        <v>74</v>
      </c>
      <c r="AK307" s="55" t="str" cm="1">
        <f t="array" ref="AK307">IF(ISNUMBER(G308),G308-_xlfn.AGGREGATE(14,6,(K$4:K307&lt;G308)*K$4:K307,1),"")</f>
        <v/>
      </c>
      <c r="AL307" s="20" t="str">
        <f>IF(ISNUMBER(AK307),ABS(IF(SUM(AK307-ref!E$9)&gt;0,0,SUM(AK307-ref!E$9))),"")</f>
        <v/>
      </c>
      <c r="AQ307"/>
    </row>
    <row r="308" spans="2:43" x14ac:dyDescent="0.25">
      <c r="B308" s="79" t="s">
        <v>58</v>
      </c>
      <c r="C308" s="85" t="s">
        <v>90</v>
      </c>
      <c r="D308" s="85"/>
      <c r="E308" s="154">
        <f t="shared" si="243"/>
        <v>44043</v>
      </c>
      <c r="F308" s="164" t="s">
        <v>21</v>
      </c>
      <c r="G308" s="155" t="str">
        <f t="shared" si="239"/>
        <v/>
      </c>
      <c r="H308" s="29"/>
      <c r="I308" s="23">
        <f t="shared" si="244"/>
        <v>0</v>
      </c>
      <c r="J308" s="29"/>
      <c r="K308" s="46" t="str">
        <f t="shared" si="240"/>
        <v/>
      </c>
      <c r="L308" s="21">
        <f>IF(OR(F308="télétravail",F308="férié travaillé",F308="travail"),(J308-H308+IF(H308&gt;J308,1)-I308),INDEX(ref!$E$22:'ref'!$E$37,MATCH(F308,gerald3,0)))</f>
        <v>0.29166666666666669</v>
      </c>
      <c r="M308" s="13">
        <f>IF(SUM(L308-ref!E$8)&lt;0,0,SUM(L308-ref!E$8))</f>
        <v>0</v>
      </c>
      <c r="N308" s="252">
        <f>L308-(hs!D307+hs!F307+hs!H307+hs!J307)</f>
        <v>0.29166666666666669</v>
      </c>
      <c r="O308" s="8">
        <f>IF(OR(F308="férié travaillé",F308="travail",F308="asa",F308="rtt"),J308-H308+IF(H308&gt;J308,1),INDEX(ref!$E$22:'ref'!$E$37,MATCH(F308,gerald2,0)))</f>
        <v>0.29166666666666669</v>
      </c>
      <c r="P308" s="14">
        <f>IF(SUM(O308-ref!E$4)&lt;0,0,SUM(O308-ref!E$4))</f>
        <v>0</v>
      </c>
      <c r="Q308" s="24">
        <f t="shared" si="245"/>
        <v>1.1666666666666667</v>
      </c>
      <c r="S308" s="137"/>
      <c r="T308" s="92"/>
      <c r="U308" s="129"/>
      <c r="V308" s="142">
        <f t="shared" si="241"/>
        <v>0</v>
      </c>
      <c r="W308" s="141" t="str">
        <f>IF(V308="","",IF(SUM(V308-ref!E$38)&gt;0,0,IF(V308=0, "0:00", SUM(V308-ref!E$38))))</f>
        <v>0:00</v>
      </c>
      <c r="X308" s="137"/>
      <c r="Y308" s="92"/>
      <c r="Z308" s="247"/>
      <c r="AA308" s="142">
        <f t="shared" si="246"/>
        <v>0</v>
      </c>
      <c r="AB308" s="245" t="str">
        <f>IF(AA308="","",IF(SUM(AA308-ref!E$38)&gt;0,0,IF(AA308=0, "0:00", SUM(AA308-ref!E$38))))</f>
        <v>0:00</v>
      </c>
      <c r="AC308" s="29"/>
      <c r="AD308" s="106"/>
      <c r="AE308" s="114">
        <f>Q311</f>
        <v>1.4583333333333335</v>
      </c>
      <c r="AF308" s="77">
        <f t="shared" si="242"/>
        <v>1</v>
      </c>
      <c r="AG308" s="19"/>
      <c r="AH308" s="178" t="s">
        <v>74</v>
      </c>
      <c r="AI308" s="54" t="s">
        <v>68</v>
      </c>
      <c r="AJ308" s="177" t="s">
        <v>75</v>
      </c>
      <c r="AK308" s="55" t="str" cm="1">
        <f t="array" ref="AK308">IF(ISNUMBER(G309),G309-_xlfn.AGGREGATE(14,6,(K$4:K308&lt;G309)*K$4:K308,1),"")</f>
        <v/>
      </c>
      <c r="AL308" s="20" t="str">
        <f>IF(ISNUMBER(AK308),ABS(IF(SUM(AK308-ref!E$9)&gt;0,0,SUM(AK308-ref!E$9))),"")</f>
        <v/>
      </c>
      <c r="AQ308"/>
    </row>
    <row r="309" spans="2:43" x14ac:dyDescent="0.25">
      <c r="B309" s="81">
        <v>7</v>
      </c>
      <c r="C309" s="86" t="s">
        <v>90</v>
      </c>
      <c r="D309" s="86"/>
      <c r="E309" s="154">
        <f t="shared" si="243"/>
        <v>44044</v>
      </c>
      <c r="F309" s="164" t="s">
        <v>21</v>
      </c>
      <c r="G309" s="155" t="str">
        <f t="shared" si="239"/>
        <v/>
      </c>
      <c r="H309" s="29"/>
      <c r="I309" s="23">
        <f t="shared" si="244"/>
        <v>0</v>
      </c>
      <c r="J309" s="29"/>
      <c r="K309" s="46" t="str">
        <f t="shared" si="240"/>
        <v/>
      </c>
      <c r="L309" s="21">
        <f>IF(OR(F309="télétravail",F309="férié travaillé",F309="travail"),(J309-H309+IF(H309&gt;J309,1)-I309),INDEX(ref!$E$22:'ref'!$E$37,MATCH(F309,gerald3,0)))</f>
        <v>0.29166666666666669</v>
      </c>
      <c r="M309" s="13">
        <f>IF(SUM(L309-ref!E$8)&lt;0,0,SUM(L309-ref!E$8))</f>
        <v>0</v>
      </c>
      <c r="N309" s="252">
        <f>L309-(hs!D308+hs!F308+hs!H308+hs!J308)</f>
        <v>0.29166666666666669</v>
      </c>
      <c r="O309" s="8">
        <f>IF(OR(F309="férié travaillé",F309="travail",F309="asa",F309="rtt"),J309-H309+IF(H309&gt;J309,1),INDEX(ref!$E$22:'ref'!$E$37,MATCH(F309,gerald2,0)))</f>
        <v>0.29166666666666669</v>
      </c>
      <c r="P309" s="14">
        <f>IF(SUM(O309-ref!E$4)&lt;0,0,SUM(O309-ref!E$4))</f>
        <v>0</v>
      </c>
      <c r="Q309" s="24">
        <f t="shared" si="245"/>
        <v>1.4583333333333335</v>
      </c>
      <c r="S309" s="137"/>
      <c r="T309" s="92"/>
      <c r="U309" s="129"/>
      <c r="V309" s="142">
        <f t="shared" si="241"/>
        <v>0</v>
      </c>
      <c r="W309" s="141" t="str">
        <f>IF(V309="","",IF(SUM(V309-ref!E$38)&gt;0,0,IF(V309=0, "0:00", SUM(V309-ref!E$38))))</f>
        <v>0:00</v>
      </c>
      <c r="X309" s="137"/>
      <c r="Y309" s="92"/>
      <c r="Z309" s="247"/>
      <c r="AA309" s="142">
        <f t="shared" si="246"/>
        <v>0</v>
      </c>
      <c r="AB309" s="245" t="str">
        <f>IF(AA309="","",IF(SUM(AA309-ref!E$38)&gt;0,0,IF(AA309=0, "0:00", SUM(AA309-ref!E$38))))</f>
        <v>0:00</v>
      </c>
      <c r="AC309" s="29"/>
      <c r="AD309" s="106"/>
      <c r="AE309" s="117" t="s">
        <v>47</v>
      </c>
      <c r="AF309" s="77">
        <f t="shared" si="242"/>
        <v>1</v>
      </c>
      <c r="AG309" s="19"/>
      <c r="AH309" s="178" t="s">
        <v>75</v>
      </c>
      <c r="AI309" s="54" t="s">
        <v>68</v>
      </c>
      <c r="AJ309" s="177" t="s">
        <v>76</v>
      </c>
      <c r="AK309" s="55" t="str" cm="1">
        <f t="array" ref="AK309">IF(ISNUMBER(G310),G310-_xlfn.AGGREGATE(14,6,(K$4:K309&lt;G310)*K$4:K309,1),"")</f>
        <v/>
      </c>
      <c r="AL309" s="20" t="str">
        <f>IF(ISNUMBER(AK309),ABS(IF(SUM(AK309-ref!E$9)&gt;0,0,SUM(AK309-ref!E$9))),"")</f>
        <v/>
      </c>
      <c r="AQ309"/>
    </row>
    <row r="310" spans="2:43" ht="15.75" thickBot="1" x14ac:dyDescent="0.3">
      <c r="B310"/>
      <c r="C310"/>
      <c r="D310"/>
      <c r="E310" s="154">
        <f t="shared" si="243"/>
        <v>44045</v>
      </c>
      <c r="F310" s="164" t="s">
        <v>19</v>
      </c>
      <c r="G310" s="155" t="str">
        <f t="shared" si="239"/>
        <v/>
      </c>
      <c r="H310" s="29"/>
      <c r="I310" s="23">
        <f t="shared" si="244"/>
        <v>0</v>
      </c>
      <c r="J310" s="29"/>
      <c r="K310" s="46" t="str">
        <f t="shared" si="240"/>
        <v/>
      </c>
      <c r="L310" s="21">
        <f>IF(OR(F310="télétravail",F310="férié travaillé",F310="travail"),(J310-H310+IF(H310&gt;J310,1)-I310),INDEX(ref!$E$22:'ref'!$E$37,MATCH(F310,gerald3,0)))</f>
        <v>0</v>
      </c>
      <c r="M310" s="13">
        <f>IF(SUM(L310-ref!E$8)&lt;0,0,SUM(L310-ref!E$8))</f>
        <v>0</v>
      </c>
      <c r="N310" s="252">
        <f>L310-(hs!D309+hs!F309+hs!H309+hs!J309)</f>
        <v>0</v>
      </c>
      <c r="O310" s="8">
        <f>IF(OR(F310="férié travaillé",F310="travail",F310="asa",F310="rtt"),J310-H310+IF(H310&gt;J310,1),INDEX(ref!$E$22:'ref'!$E$37,MATCH(F310,gerald2,0)))</f>
        <v>0</v>
      </c>
      <c r="P310" s="14">
        <f>IF(SUM(O310-ref!E$4)&lt;0,0,SUM(O310-ref!E$4))</f>
        <v>0</v>
      </c>
      <c r="Q310" s="97">
        <f t="shared" si="245"/>
        <v>1.4583333333333335</v>
      </c>
      <c r="S310" s="137"/>
      <c r="T310" s="92"/>
      <c r="U310" s="129"/>
      <c r="V310" s="142">
        <f t="shared" si="241"/>
        <v>0</v>
      </c>
      <c r="W310" s="141" t="str">
        <f>IF(V310="","",IF(SUM(V310-ref!E$38)&gt;0,0,IF(V310=0, "0:00", SUM(V310-ref!E$38))))</f>
        <v>0:00</v>
      </c>
      <c r="X310" s="137"/>
      <c r="Y310" s="92"/>
      <c r="Z310" s="247"/>
      <c r="AA310" s="142">
        <f t="shared" si="246"/>
        <v>0</v>
      </c>
      <c r="AB310" s="245" t="str">
        <f>IF(AA310="","",IF(SUM(AA310-ref!E$38)&gt;0,0,IF(AA310=0, "0:00", SUM(AA310-ref!E$38))))</f>
        <v>0:00</v>
      </c>
      <c r="AC310" s="29"/>
      <c r="AD310" s="106"/>
      <c r="AE310" s="118">
        <f>ref!E$11</f>
        <v>2</v>
      </c>
      <c r="AF310" s="77">
        <f t="shared" si="242"/>
        <v>0</v>
      </c>
      <c r="AG310" s="19"/>
      <c r="AH310" s="178" t="s">
        <v>76</v>
      </c>
      <c r="AI310" s="54" t="s">
        <v>68</v>
      </c>
      <c r="AJ310" s="177" t="s">
        <v>77</v>
      </c>
      <c r="AK310" s="55" t="str" cm="1">
        <f t="array" ref="AK310">IF(ISNUMBER(G311),G311-_xlfn.AGGREGATE(14,6,(K$4:K310&lt;G311)*K$4:K310,1),"")</f>
        <v/>
      </c>
      <c r="AL310" s="20" t="str">
        <f>IF(ISNUMBER(AK310),ABS(IF(SUM(AK310-ref!E$9)&gt;0,0,SUM(AK310-ref!E$9))),"")</f>
        <v/>
      </c>
      <c r="AQ310"/>
    </row>
    <row r="311" spans="2:43" ht="15.75" thickBot="1" x14ac:dyDescent="0.3">
      <c r="B311"/>
      <c r="C311"/>
      <c r="D311"/>
      <c r="E311" s="154">
        <f t="shared" si="243"/>
        <v>44046</v>
      </c>
      <c r="F311" s="165" t="s">
        <v>19</v>
      </c>
      <c r="G311" s="155" t="str">
        <f t="shared" si="239"/>
        <v/>
      </c>
      <c r="H311" s="29"/>
      <c r="I311" s="23">
        <f t="shared" si="244"/>
        <v>0</v>
      </c>
      <c r="J311" s="29"/>
      <c r="K311" s="46" t="str">
        <f t="shared" si="240"/>
        <v/>
      </c>
      <c r="L311" s="21">
        <f>IF(OR(F311="télétravail",F311="férié travaillé",F311="travail"),(J311-H311+IF(H311&gt;J311,1)-I311),INDEX(ref!$E$22:'ref'!$E$37,MATCH(F311,gerald3,0)))</f>
        <v>0</v>
      </c>
      <c r="M311" s="13">
        <f>IF(SUM(L311-ref!E$8)&lt;0,0,SUM(L311-ref!E$8))</f>
        <v>0</v>
      </c>
      <c r="N311" s="252">
        <f>L311-(hs!D310+hs!F310+hs!H310+hs!J310)</f>
        <v>0</v>
      </c>
      <c r="O311" s="8">
        <f>IF(OR(F311="férié travaillé",F311="travail",F311="asa",F311="rtt"),J311-H311+IF(H311&gt;J311,1),INDEX(ref!$E$22:'ref'!$E$37,MATCH(F311,gerald2,0)))</f>
        <v>0</v>
      </c>
      <c r="P311" s="14">
        <f>IF(SUM(O311-ref!E$4)&lt;0,0,SUM(O311-ref!E$4))</f>
        <v>0</v>
      </c>
      <c r="Q311" s="94">
        <f t="shared" si="245"/>
        <v>1.4583333333333335</v>
      </c>
      <c r="S311" s="138"/>
      <c r="T311" s="92"/>
      <c r="U311" s="129"/>
      <c r="V311" s="142">
        <f t="shared" si="241"/>
        <v>0</v>
      </c>
      <c r="W311" s="141" t="str">
        <f>IF(V311="","",IF(SUM(V311-ref!E$38)&gt;0,0,IF(V311=0, "0:00", SUM(V311-ref!E$38))))</f>
        <v>0:00</v>
      </c>
      <c r="X311" s="138"/>
      <c r="Y311" s="92"/>
      <c r="Z311" s="247"/>
      <c r="AA311" s="142">
        <f t="shared" si="246"/>
        <v>0</v>
      </c>
      <c r="AB311" s="246" t="str">
        <f>IF(AA311="","",IF(SUM(AA311-ref!E$38)&gt;0,0,IF(AA311=0, "0:00", SUM(AA311-ref!E$38))))</f>
        <v>0:00</v>
      </c>
      <c r="AC311" s="29"/>
      <c r="AD311" s="106"/>
      <c r="AE311" s="110">
        <f>IF(SUM(Q311-ref!E$11)&lt;0,0,SUM(Q311-ref!E$11))</f>
        <v>0</v>
      </c>
      <c r="AF311" s="77">
        <f t="shared" si="242"/>
        <v>0</v>
      </c>
      <c r="AG311" s="19"/>
      <c r="AQ311"/>
    </row>
    <row r="312" spans="2:43" x14ac:dyDescent="0.25">
      <c r="W312" s="74"/>
      <c r="X312" s="2"/>
      <c r="Z312"/>
      <c r="AA312" s="2"/>
      <c r="AB312" s="2"/>
      <c r="AC312" s="127"/>
      <c r="AQ312"/>
    </row>
    <row r="313" spans="2:43" x14ac:dyDescent="0.25">
      <c r="X313" s="2"/>
      <c r="Z313"/>
      <c r="AA313" s="2"/>
      <c r="AB313" s="2"/>
      <c r="AC313" s="127"/>
      <c r="AQ313"/>
    </row>
    <row r="314" spans="2:43" ht="15.75" thickBot="1" x14ac:dyDescent="0.3">
      <c r="W314" s="74"/>
      <c r="X314" s="2"/>
      <c r="Z314"/>
      <c r="AA314" s="2"/>
      <c r="AB314" s="2"/>
      <c r="AC314" s="127"/>
      <c r="AQ314"/>
    </row>
    <row r="315" spans="2:43" x14ac:dyDescent="0.25">
      <c r="B315" s="78" t="s">
        <v>1</v>
      </c>
      <c r="C315" s="85" t="s">
        <v>90</v>
      </c>
      <c r="D315" s="85"/>
      <c r="E315" s="154">
        <f>DATE(ref!E$2,B319,B317)</f>
        <v>44047</v>
      </c>
      <c r="F315" s="163" t="s">
        <v>21</v>
      </c>
      <c r="G315" s="155" t="str">
        <f t="shared" ref="G315:G321" si="247">IF(AND(J315="",H315=""),"",E315+H315)</f>
        <v/>
      </c>
      <c r="H315" s="29"/>
      <c r="I315" s="23">
        <f>SUM(V315+AA315+AC315)</f>
        <v>0</v>
      </c>
      <c r="J315" s="29"/>
      <c r="K315" s="46" t="str">
        <f t="shared" ref="K315:K321" si="248">IF(AND(H315="",J315=""),"",E315+J315+(H315&gt;J315))</f>
        <v/>
      </c>
      <c r="L315" s="21">
        <f>IF(OR(F315="télétravail",F315="férié travaillé",F315="travail"),(J315-H315+IF(H315&gt;J315,1)-I315),INDEX(ref!$E$22:'ref'!$E$37,MATCH(F315,gerald3,0)))</f>
        <v>0.29166666666666669</v>
      </c>
      <c r="M315" s="13">
        <f>IF(SUM(L315-ref!E$8)&lt;0,0,SUM(L315-ref!E$8))</f>
        <v>0</v>
      </c>
      <c r="N315" s="252">
        <f>L315-(hs!D314+hs!F314+hs!H314+hs!J314)</f>
        <v>0.29166666666666669</v>
      </c>
      <c r="O315" s="8">
        <f>IF(OR(F315="férié travaillé",F315="travail",F315="asa",F315="rtt"),J315-H315+IF(H315&gt;J315,1),INDEX(ref!$E$22:'ref'!$E$37,MATCH(F315,gerald2,0)))</f>
        <v>0.29166666666666669</v>
      </c>
      <c r="P315" s="14">
        <f>IF(SUM(O315-ref!E$4)&lt;0,0,SUM(O315-ref!E$4))</f>
        <v>0</v>
      </c>
      <c r="Q315" s="21">
        <f>L315</f>
        <v>0.29166666666666669</v>
      </c>
      <c r="S315" s="136"/>
      <c r="T315" s="92"/>
      <c r="U315" s="129"/>
      <c r="V315" s="142">
        <f t="shared" ref="V315:V321" si="249">U315-T315</f>
        <v>0</v>
      </c>
      <c r="W315" s="141" t="str">
        <f>IF(V315="","",IF(SUM(V315-ref!E$38)&gt;0,0,IF(V315=0, "0:00", SUM(V315-ref!E$38))))</f>
        <v>0:00</v>
      </c>
      <c r="X315" s="136"/>
      <c r="Y315" s="92"/>
      <c r="Z315" s="247"/>
      <c r="AA315" s="142">
        <f>Z315-Y315</f>
        <v>0</v>
      </c>
      <c r="AB315" s="244" t="str">
        <f>IF(AA315="","",IF(SUM(AA315-ref!E$38)&gt;0,0,IF(AA315=0, "0:00", SUM(AA315-ref!E$38))))</f>
        <v>0:00</v>
      </c>
      <c r="AC315" s="29"/>
      <c r="AD315" s="106"/>
      <c r="AE315" s="111">
        <f>SUM(AF315:AF321)</f>
        <v>5</v>
      </c>
      <c r="AF315" s="77">
        <f t="shared" ref="AF315:AF321" si="250">IF(AND(H315&lt;&gt;"",J315&lt;&gt;""),1,0+OR(N(J314)&lt;N(H314),F315="récupération",F315="congé 1 jour",F315="congé 1/2 jour ",F315="congé 5h24",F315="arrêt maladie",F315="arrêt travail",F315="férié ",F315="congé parentale",F315="congé de naissance"))</f>
        <v>1</v>
      </c>
      <c r="AG315" s="19"/>
      <c r="AH315" s="176" t="s">
        <v>71</v>
      </c>
      <c r="AI315" s="54" t="s">
        <v>68</v>
      </c>
      <c r="AJ315" s="177" t="s">
        <v>72</v>
      </c>
      <c r="AK315" s="55" t="str" cm="1">
        <f t="array" ref="AK315">IF(ISNUMBER(G316),G316-_xlfn.AGGREGATE(14,6,(K$4:K315&lt;G316)*K$4:K315,1),"")</f>
        <v/>
      </c>
      <c r="AL315" s="20" t="str">
        <f>IF(ISNUMBER(AK315),ABS(IF(SUM(AK315-ref!E$9)&gt;0,0,SUM(AK315-ref!E$9))),"")</f>
        <v/>
      </c>
      <c r="AQ315"/>
    </row>
    <row r="316" spans="2:43" x14ac:dyDescent="0.25">
      <c r="B316" s="79" t="s">
        <v>1</v>
      </c>
      <c r="C316" s="85" t="s">
        <v>90</v>
      </c>
      <c r="D316" s="85"/>
      <c r="E316" s="154">
        <f t="shared" ref="E316:E321" si="251">E315+1</f>
        <v>44048</v>
      </c>
      <c r="F316" s="164" t="s">
        <v>21</v>
      </c>
      <c r="G316" s="155" t="str">
        <f t="shared" si="247"/>
        <v/>
      </c>
      <c r="H316" s="29"/>
      <c r="I316" s="23">
        <f t="shared" ref="I316:I321" si="252">SUM(V316+AA316+AC316)</f>
        <v>0</v>
      </c>
      <c r="J316" s="29"/>
      <c r="K316" s="46" t="str">
        <f t="shared" si="248"/>
        <v/>
      </c>
      <c r="L316" s="21">
        <f>IF(OR(F316="télétravail",F316="férié travaillé",F316="travail"),(J316-H316+IF(H316&gt;J316,1)-I316),INDEX(ref!$E$22:'ref'!$E$37,MATCH(F316,gerald3,0)))</f>
        <v>0.29166666666666669</v>
      </c>
      <c r="M316" s="13">
        <f>IF(SUM(L316-ref!E$8)&lt;0,0,SUM(L316-ref!E$8))</f>
        <v>0</v>
      </c>
      <c r="N316" s="252">
        <f>L316-(hs!D315+hs!F315+hs!H315+hs!J315)</f>
        <v>0.29166666666666669</v>
      </c>
      <c r="O316" s="8">
        <f>IF(OR(F316="férié travaillé",F316="travail",F316="asa",F316="rtt"),J316-H316+IF(H316&gt;J316,1),INDEX(ref!$E$22:'ref'!$E$37,MATCH(F316,gerald2,0)))</f>
        <v>0.29166666666666669</v>
      </c>
      <c r="P316" s="14">
        <f>IF(SUM(O316-ref!E$4)&lt;0,0,SUM(O316-ref!E$4))</f>
        <v>0</v>
      </c>
      <c r="Q316" s="24">
        <f t="shared" ref="Q316:Q321" si="253">Q315+L316</f>
        <v>0.58333333333333337</v>
      </c>
      <c r="S316" s="137"/>
      <c r="T316" s="92"/>
      <c r="U316" s="129"/>
      <c r="V316" s="142">
        <f t="shared" si="249"/>
        <v>0</v>
      </c>
      <c r="W316" s="141" t="str">
        <f>IF(V316="","",IF(SUM(V316-ref!E$38)&gt;0,0,IF(V316=0, "0:00", SUM(V316-ref!E$38))))</f>
        <v>0:00</v>
      </c>
      <c r="X316" s="137"/>
      <c r="Y316" s="92"/>
      <c r="Z316" s="247"/>
      <c r="AA316" s="142">
        <f t="shared" ref="AA316:AA321" si="254">Z316-Y316</f>
        <v>0</v>
      </c>
      <c r="AB316" s="245" t="str">
        <f>IF(AA316="","",IF(SUM(AA316-ref!E$38)&gt;0,0,IF(AA316=0, "0:00", SUM(AA316-ref!E$38))))</f>
        <v>0:00</v>
      </c>
      <c r="AC316" s="29"/>
      <c r="AD316" s="106"/>
      <c r="AE316" s="112">
        <f>IF(SUM(AE315-ref!E$7)&lt;0,0,SUM(AE315-ref!E$7))</f>
        <v>0</v>
      </c>
      <c r="AF316" s="77">
        <f t="shared" si="250"/>
        <v>1</v>
      </c>
      <c r="AG316" s="19"/>
      <c r="AH316" s="178" t="s">
        <v>72</v>
      </c>
      <c r="AI316" s="54" t="s">
        <v>68</v>
      </c>
      <c r="AJ316" s="177" t="s">
        <v>73</v>
      </c>
      <c r="AK316" s="55" t="str" cm="1">
        <f t="array" ref="AK316">IF(ISNUMBER(G317),G317-_xlfn.AGGREGATE(14,6,(K$4:K316&lt;G317)*K$4:K316,1),"")</f>
        <v/>
      </c>
      <c r="AL316" s="20" t="str">
        <f>IF(ISNUMBER(AK316),ABS(IF(SUM(AK316-ref!E$9)&gt;0,0,SUM(AK316-ref!E$9))),"")</f>
        <v/>
      </c>
      <c r="AQ316"/>
    </row>
    <row r="317" spans="2:43" x14ac:dyDescent="0.25">
      <c r="B317" s="80">
        <v>5</v>
      </c>
      <c r="C317" s="85" t="s">
        <v>90</v>
      </c>
      <c r="D317" s="85"/>
      <c r="E317" s="154">
        <f t="shared" si="251"/>
        <v>44049</v>
      </c>
      <c r="F317" s="164" t="s">
        <v>21</v>
      </c>
      <c r="G317" s="155" t="str">
        <f t="shared" si="247"/>
        <v/>
      </c>
      <c r="H317" s="29"/>
      <c r="I317" s="23">
        <f t="shared" si="252"/>
        <v>0</v>
      </c>
      <c r="J317" s="29"/>
      <c r="K317" s="46" t="str">
        <f t="shared" si="248"/>
        <v/>
      </c>
      <c r="L317" s="21">
        <f>IF(OR(F317="télétravail",F317="férié travaillé",F317="travail"),(J317-H317+IF(H317&gt;J317,1)-I317),INDEX(ref!$E$22:'ref'!$E$37,MATCH(F317,gerald3,0)))</f>
        <v>0.29166666666666669</v>
      </c>
      <c r="M317" s="13">
        <f>IF(SUM(L317-ref!E$8)&lt;0,0,SUM(L317-ref!E$8))</f>
        <v>0</v>
      </c>
      <c r="N317" s="252">
        <f>L317-(hs!D316+hs!F316+hs!H316+hs!J316)</f>
        <v>0.29166666666666669</v>
      </c>
      <c r="O317" s="8">
        <f>IF(OR(F317="férié travaillé",F317="travail",F317="asa",F317="rtt"),J317-H317+IF(H317&gt;J317,1),INDEX(ref!$E$22:'ref'!$E$37,MATCH(F317,gerald2,0)))</f>
        <v>0.29166666666666669</v>
      </c>
      <c r="P317" s="14">
        <f>IF(SUM(O317-ref!E$4)&lt;0,0,SUM(O317-ref!E$4))</f>
        <v>0</v>
      </c>
      <c r="Q317" s="24">
        <f t="shared" si="253"/>
        <v>0.875</v>
      </c>
      <c r="S317" s="137"/>
      <c r="T317" s="92"/>
      <c r="U317" s="129"/>
      <c r="V317" s="142">
        <f t="shared" si="249"/>
        <v>0</v>
      </c>
      <c r="W317" s="141" t="str">
        <f>IF(V317="","",IF(SUM(V317-ref!E$38)&gt;0,0,IF(V317=0, "0:00", SUM(V317-ref!E$38))))</f>
        <v>0:00</v>
      </c>
      <c r="X317" s="137"/>
      <c r="Y317" s="92"/>
      <c r="Z317" s="247"/>
      <c r="AA317" s="142">
        <f t="shared" si="254"/>
        <v>0</v>
      </c>
      <c r="AB317" s="245" t="str">
        <f>IF(AA317="","",IF(SUM(AA317-ref!E$38)&gt;0,0,IF(AA317=0, "0:00", SUM(AA317-ref!E$38))))</f>
        <v>0:00</v>
      </c>
      <c r="AC317" s="29"/>
      <c r="AD317" s="106"/>
      <c r="AE317" s="113" t="s">
        <v>29</v>
      </c>
      <c r="AF317" s="77">
        <f t="shared" si="250"/>
        <v>1</v>
      </c>
      <c r="AG317" s="19"/>
      <c r="AH317" s="178" t="s">
        <v>73</v>
      </c>
      <c r="AI317" s="54" t="s">
        <v>68</v>
      </c>
      <c r="AJ317" s="177" t="s">
        <v>74</v>
      </c>
      <c r="AK317" s="55" t="str" cm="1">
        <f t="array" ref="AK317">IF(ISNUMBER(G318),G318-_xlfn.AGGREGATE(14,6,(K$4:K317&lt;G318)*K$4:K317,1),"")</f>
        <v/>
      </c>
      <c r="AL317" s="20" t="str">
        <f>IF(ISNUMBER(AK317),ABS(IF(SUM(AK317-ref!E$9)&gt;0,0,SUM(AK317-ref!E$9))),"")</f>
        <v/>
      </c>
      <c r="AQ317"/>
    </row>
    <row r="318" spans="2:43" x14ac:dyDescent="0.25">
      <c r="B318" s="79" t="s">
        <v>58</v>
      </c>
      <c r="C318" s="85" t="s">
        <v>90</v>
      </c>
      <c r="D318" s="85"/>
      <c r="E318" s="154">
        <f t="shared" si="251"/>
        <v>44050</v>
      </c>
      <c r="F318" s="164" t="s">
        <v>21</v>
      </c>
      <c r="G318" s="155" t="str">
        <f t="shared" si="247"/>
        <v/>
      </c>
      <c r="H318" s="29"/>
      <c r="I318" s="23">
        <f t="shared" si="252"/>
        <v>0</v>
      </c>
      <c r="J318" s="29"/>
      <c r="K318" s="46" t="str">
        <f t="shared" si="248"/>
        <v/>
      </c>
      <c r="L318" s="21">
        <f>IF(OR(F318="télétravail",F318="férié travaillé",F318="travail"),(J318-H318+IF(H318&gt;J318,1)-I318),INDEX(ref!$E$22:'ref'!$E$37,MATCH(F318,gerald3,0)))</f>
        <v>0.29166666666666669</v>
      </c>
      <c r="M318" s="13">
        <f>IF(SUM(L318-ref!E$8)&lt;0,0,SUM(L318-ref!E$8))</f>
        <v>0</v>
      </c>
      <c r="N318" s="252">
        <f>L318-(hs!D317+hs!F317+hs!H317+hs!J317)</f>
        <v>0.29166666666666669</v>
      </c>
      <c r="O318" s="8">
        <f>IF(OR(F318="férié travaillé",F318="travail",F318="asa",F318="rtt"),J318-H318+IF(H318&gt;J318,1),INDEX(ref!$E$22:'ref'!$E$37,MATCH(F318,gerald2,0)))</f>
        <v>0.29166666666666669</v>
      </c>
      <c r="P318" s="14">
        <f>IF(SUM(O318-ref!E$4)&lt;0,0,SUM(O318-ref!E$4))</f>
        <v>0</v>
      </c>
      <c r="Q318" s="24">
        <f t="shared" si="253"/>
        <v>1.1666666666666667</v>
      </c>
      <c r="S318" s="137"/>
      <c r="T318" s="92"/>
      <c r="U318" s="129"/>
      <c r="V318" s="142">
        <f t="shared" si="249"/>
        <v>0</v>
      </c>
      <c r="W318" s="141" t="str">
        <f>IF(V318="","",IF(SUM(V318-ref!E$38)&gt;0,0,IF(V318=0, "0:00", SUM(V318-ref!E$38))))</f>
        <v>0:00</v>
      </c>
      <c r="X318" s="137"/>
      <c r="Y318" s="92"/>
      <c r="Z318" s="247"/>
      <c r="AA318" s="142">
        <f t="shared" si="254"/>
        <v>0</v>
      </c>
      <c r="AB318" s="245" t="str">
        <f>IF(AA318="","",IF(SUM(AA318-ref!E$38)&gt;0,0,IF(AA318=0, "0:00", SUM(AA318-ref!E$38))))</f>
        <v>0:00</v>
      </c>
      <c r="AC318" s="29"/>
      <c r="AD318" s="106"/>
      <c r="AE318" s="114">
        <f>Q321</f>
        <v>1.4583333333333335</v>
      </c>
      <c r="AF318" s="77">
        <f t="shared" si="250"/>
        <v>1</v>
      </c>
      <c r="AG318" s="19"/>
      <c r="AH318" s="178" t="s">
        <v>74</v>
      </c>
      <c r="AI318" s="54" t="s">
        <v>68</v>
      </c>
      <c r="AJ318" s="177" t="s">
        <v>75</v>
      </c>
      <c r="AK318" s="55" t="str" cm="1">
        <f t="array" ref="AK318">IF(ISNUMBER(G319),G319-_xlfn.AGGREGATE(14,6,(K$4:K318&lt;G319)*K$4:K318,1),"")</f>
        <v/>
      </c>
      <c r="AL318" s="20" t="str">
        <f>IF(ISNUMBER(AK318),ABS(IF(SUM(AK318-ref!E$9)&gt;0,0,SUM(AK318-ref!E$9))),"")</f>
        <v/>
      </c>
      <c r="AQ318"/>
    </row>
    <row r="319" spans="2:43" x14ac:dyDescent="0.25">
      <c r="B319" s="81">
        <v>8</v>
      </c>
      <c r="C319" s="86" t="s">
        <v>90</v>
      </c>
      <c r="D319" s="86"/>
      <c r="E319" s="154">
        <f t="shared" si="251"/>
        <v>44051</v>
      </c>
      <c r="F319" s="164" t="s">
        <v>21</v>
      </c>
      <c r="G319" s="155" t="str">
        <f t="shared" si="247"/>
        <v/>
      </c>
      <c r="H319" s="29"/>
      <c r="I319" s="23">
        <f t="shared" si="252"/>
        <v>0</v>
      </c>
      <c r="J319" s="29"/>
      <c r="K319" s="46" t="str">
        <f t="shared" si="248"/>
        <v/>
      </c>
      <c r="L319" s="21">
        <f>IF(OR(F319="télétravail",F319="férié travaillé",F319="travail"),(J319-H319+IF(H319&gt;J319,1)-I319),INDEX(ref!$E$22:'ref'!$E$37,MATCH(F319,gerald3,0)))</f>
        <v>0.29166666666666669</v>
      </c>
      <c r="M319" s="13">
        <f>IF(SUM(L319-ref!E$8)&lt;0,0,SUM(L319-ref!E$8))</f>
        <v>0</v>
      </c>
      <c r="N319" s="252">
        <f>L319-(hs!D318+hs!F318+hs!H318+hs!J318)</f>
        <v>0.29166666666666669</v>
      </c>
      <c r="O319" s="8">
        <f>IF(OR(F319="férié travaillé",F319="travail",F319="asa",F319="rtt"),J319-H319+IF(H319&gt;J319,1),INDEX(ref!$E$22:'ref'!$E$37,MATCH(F319,gerald2,0)))</f>
        <v>0.29166666666666669</v>
      </c>
      <c r="P319" s="14">
        <f>IF(SUM(O319-ref!E$4)&lt;0,0,SUM(O319-ref!E$4))</f>
        <v>0</v>
      </c>
      <c r="Q319" s="24">
        <f t="shared" si="253"/>
        <v>1.4583333333333335</v>
      </c>
      <c r="S319" s="137"/>
      <c r="T319" s="92"/>
      <c r="U319" s="129"/>
      <c r="V319" s="142">
        <f t="shared" si="249"/>
        <v>0</v>
      </c>
      <c r="W319" s="141" t="str">
        <f>IF(V319="","",IF(SUM(V319-ref!E$38)&gt;0,0,IF(V319=0, "0:00", SUM(V319-ref!E$38))))</f>
        <v>0:00</v>
      </c>
      <c r="X319" s="137"/>
      <c r="Y319" s="92"/>
      <c r="Z319" s="247"/>
      <c r="AA319" s="142">
        <f t="shared" si="254"/>
        <v>0</v>
      </c>
      <c r="AB319" s="245" t="str">
        <f>IF(AA319="","",IF(SUM(AA319-ref!E$38)&gt;0,0,IF(AA319=0, "0:00", SUM(AA319-ref!E$38))))</f>
        <v>0:00</v>
      </c>
      <c r="AC319" s="29"/>
      <c r="AD319" s="106"/>
      <c r="AE319" s="117" t="s">
        <v>47</v>
      </c>
      <c r="AF319" s="77">
        <f t="shared" si="250"/>
        <v>1</v>
      </c>
      <c r="AG319" s="19"/>
      <c r="AH319" s="178" t="s">
        <v>75</v>
      </c>
      <c r="AI319" s="54" t="s">
        <v>68</v>
      </c>
      <c r="AJ319" s="177" t="s">
        <v>76</v>
      </c>
      <c r="AK319" s="55" t="str" cm="1">
        <f t="array" ref="AK319">IF(ISNUMBER(G320),G320-_xlfn.AGGREGATE(14,6,(K$4:K319&lt;G320)*K$4:K319,1),"")</f>
        <v/>
      </c>
      <c r="AL319" s="20" t="str">
        <f>IF(ISNUMBER(AK319),ABS(IF(SUM(AK319-ref!E$9)&gt;0,0,SUM(AK319-ref!E$9))),"")</f>
        <v/>
      </c>
      <c r="AQ319"/>
    </row>
    <row r="320" spans="2:43" ht="15.75" thickBot="1" x14ac:dyDescent="0.3">
      <c r="B320"/>
      <c r="C320"/>
      <c r="D320"/>
      <c r="E320" s="154">
        <f t="shared" si="251"/>
        <v>44052</v>
      </c>
      <c r="F320" s="164" t="s">
        <v>19</v>
      </c>
      <c r="G320" s="155" t="str">
        <f t="shared" si="247"/>
        <v/>
      </c>
      <c r="H320" s="29"/>
      <c r="I320" s="23">
        <f t="shared" si="252"/>
        <v>0</v>
      </c>
      <c r="J320" s="29"/>
      <c r="K320" s="46" t="str">
        <f t="shared" si="248"/>
        <v/>
      </c>
      <c r="L320" s="21">
        <f>IF(OR(F320="télétravail",F320="férié travaillé",F320="travail"),(J320-H320+IF(H320&gt;J320,1)-I320),INDEX(ref!$E$22:'ref'!$E$37,MATCH(F320,gerald3,0)))</f>
        <v>0</v>
      </c>
      <c r="M320" s="13">
        <f>IF(SUM(L320-ref!E$8)&lt;0,0,SUM(L320-ref!E$8))</f>
        <v>0</v>
      </c>
      <c r="N320" s="252">
        <f>L320-(hs!D319+hs!F319+hs!H319+hs!J319)</f>
        <v>0</v>
      </c>
      <c r="O320" s="8">
        <f>IF(OR(F320="férié travaillé",F320="travail",F320="asa",F320="rtt"),J320-H320+IF(H320&gt;J320,1),INDEX(ref!$E$22:'ref'!$E$37,MATCH(F320,gerald2,0)))</f>
        <v>0</v>
      </c>
      <c r="P320" s="14">
        <f>IF(SUM(O320-ref!E$4)&lt;0,0,SUM(O320-ref!E$4))</f>
        <v>0</v>
      </c>
      <c r="Q320" s="97">
        <f t="shared" si="253"/>
        <v>1.4583333333333335</v>
      </c>
      <c r="S320" s="137"/>
      <c r="T320" s="92"/>
      <c r="U320" s="129"/>
      <c r="V320" s="142">
        <f t="shared" si="249"/>
        <v>0</v>
      </c>
      <c r="W320" s="141" t="str">
        <f>IF(V320="","",IF(SUM(V320-ref!E$38)&gt;0,0,IF(V320=0, "0:00", SUM(V320-ref!E$38))))</f>
        <v>0:00</v>
      </c>
      <c r="X320" s="137"/>
      <c r="Y320" s="92"/>
      <c r="Z320" s="247"/>
      <c r="AA320" s="142">
        <f t="shared" si="254"/>
        <v>0</v>
      </c>
      <c r="AB320" s="245" t="str">
        <f>IF(AA320="","",IF(SUM(AA320-ref!E$38)&gt;0,0,IF(AA320=0, "0:00", SUM(AA320-ref!E$38))))</f>
        <v>0:00</v>
      </c>
      <c r="AC320" s="29"/>
      <c r="AD320" s="106"/>
      <c r="AE320" s="118">
        <f>ref!E$11</f>
        <v>2</v>
      </c>
      <c r="AF320" s="77">
        <f t="shared" si="250"/>
        <v>0</v>
      </c>
      <c r="AG320" s="19"/>
      <c r="AH320" s="178" t="s">
        <v>76</v>
      </c>
      <c r="AI320" s="54" t="s">
        <v>68</v>
      </c>
      <c r="AJ320" s="177" t="s">
        <v>77</v>
      </c>
      <c r="AK320" s="55" t="str" cm="1">
        <f t="array" ref="AK320">IF(ISNUMBER(G321),G321-_xlfn.AGGREGATE(14,6,(K$4:K320&lt;G321)*K$4:K320,1),"")</f>
        <v/>
      </c>
      <c r="AL320" s="20" t="str">
        <f>IF(ISNUMBER(AK320),ABS(IF(SUM(AK320-ref!E$9)&gt;0,0,SUM(AK320-ref!E$9))),"")</f>
        <v/>
      </c>
      <c r="AQ320"/>
    </row>
    <row r="321" spans="2:43" ht="15.75" thickBot="1" x14ac:dyDescent="0.3">
      <c r="B321"/>
      <c r="C321"/>
      <c r="D321"/>
      <c r="E321" s="154">
        <f t="shared" si="251"/>
        <v>44053</v>
      </c>
      <c r="F321" s="165" t="s">
        <v>19</v>
      </c>
      <c r="G321" s="155" t="str">
        <f t="shared" si="247"/>
        <v/>
      </c>
      <c r="H321" s="29"/>
      <c r="I321" s="23">
        <f t="shared" si="252"/>
        <v>0</v>
      </c>
      <c r="J321" s="29"/>
      <c r="K321" s="46" t="str">
        <f t="shared" si="248"/>
        <v/>
      </c>
      <c r="L321" s="21">
        <f>IF(OR(F321="télétravail",F321="férié travaillé",F321="travail"),(J321-H321+IF(H321&gt;J321,1)-I321),INDEX(ref!$E$22:'ref'!$E$37,MATCH(F321,gerald3,0)))</f>
        <v>0</v>
      </c>
      <c r="M321" s="13">
        <f>IF(SUM(L321-ref!E$8)&lt;0,0,SUM(L321-ref!E$8))</f>
        <v>0</v>
      </c>
      <c r="N321" s="252">
        <f>L321-(hs!D320+hs!F320+hs!H320+hs!J320)</f>
        <v>0</v>
      </c>
      <c r="O321" s="8">
        <f>IF(OR(F321="férié travaillé",F321="travail",F321="asa",F321="rtt"),J321-H321+IF(H321&gt;J321,1),INDEX(ref!$E$22:'ref'!$E$37,MATCH(F321,gerald2,0)))</f>
        <v>0</v>
      </c>
      <c r="P321" s="14">
        <f>IF(SUM(O321-ref!E$4)&lt;0,0,SUM(O321-ref!E$4))</f>
        <v>0</v>
      </c>
      <c r="Q321" s="94">
        <f t="shared" si="253"/>
        <v>1.4583333333333335</v>
      </c>
      <c r="S321" s="138"/>
      <c r="T321" s="92"/>
      <c r="U321" s="129"/>
      <c r="V321" s="142">
        <f t="shared" si="249"/>
        <v>0</v>
      </c>
      <c r="W321" s="141" t="str">
        <f>IF(V321="","",IF(SUM(V321-ref!E$38)&gt;0,0,IF(V321=0, "0:00", SUM(V321-ref!E$38))))</f>
        <v>0:00</v>
      </c>
      <c r="X321" s="138"/>
      <c r="Y321" s="92"/>
      <c r="Z321" s="247"/>
      <c r="AA321" s="142">
        <f t="shared" si="254"/>
        <v>0</v>
      </c>
      <c r="AB321" s="246" t="str">
        <f>IF(AA321="","",IF(SUM(AA321-ref!E$38)&gt;0,0,IF(AA321=0, "0:00", SUM(AA321-ref!E$38))))</f>
        <v>0:00</v>
      </c>
      <c r="AC321" s="29"/>
      <c r="AD321" s="106"/>
      <c r="AE321" s="110">
        <f>IF(SUM(Q321-ref!E$11)&lt;0,0,SUM(Q321-ref!E$11))</f>
        <v>0</v>
      </c>
      <c r="AF321" s="77">
        <f t="shared" si="250"/>
        <v>0</v>
      </c>
      <c r="AG321" s="19"/>
      <c r="AQ321"/>
    </row>
    <row r="322" spans="2:43" x14ac:dyDescent="0.25">
      <c r="W322" s="74"/>
      <c r="X322" s="2"/>
      <c r="Z322"/>
      <c r="AA322" s="2"/>
      <c r="AB322" s="2"/>
      <c r="AC322" s="127"/>
      <c r="AQ322"/>
    </row>
    <row r="323" spans="2:43" x14ac:dyDescent="0.25">
      <c r="X323" s="2"/>
      <c r="Z323"/>
      <c r="AA323" s="2"/>
      <c r="AB323" s="2"/>
      <c r="AC323" s="127"/>
      <c r="AQ323"/>
    </row>
    <row r="324" spans="2:43" ht="15.75" thickBot="1" x14ac:dyDescent="0.3">
      <c r="W324" s="74"/>
      <c r="X324" s="2"/>
      <c r="Z324"/>
      <c r="AA324" s="2"/>
      <c r="AB324" s="2"/>
      <c r="AC324" s="127"/>
      <c r="AQ324"/>
    </row>
    <row r="325" spans="2:43" x14ac:dyDescent="0.25">
      <c r="B325" s="78" t="s">
        <v>1</v>
      </c>
      <c r="C325" s="85" t="s">
        <v>90</v>
      </c>
      <c r="D325" s="85"/>
      <c r="E325" s="154">
        <f>DATE(ref!E$2,B329,B327)</f>
        <v>44054</v>
      </c>
      <c r="F325" s="163" t="s">
        <v>60</v>
      </c>
      <c r="G325" s="155" t="str">
        <f t="shared" ref="G325:G331" si="255">IF(AND(J325="",H325=""),"",E325+H325)</f>
        <v/>
      </c>
      <c r="H325" s="29"/>
      <c r="I325" s="23">
        <f>SUM(V325+AA325+AC325)</f>
        <v>0</v>
      </c>
      <c r="J325" s="29"/>
      <c r="K325" s="46" t="str">
        <f t="shared" ref="K325:K331" si="256">IF(AND(H325="",J325=""),"",E325+J325+(H325&gt;J325))</f>
        <v/>
      </c>
      <c r="L325" s="21">
        <f>IF(OR(F325="télétravail",F325="férié travaillé",F325="travail"),(J325-H325+IF(H325&gt;J325,1)-I325),INDEX(ref!$E$22:'ref'!$E$37,MATCH(F325,gerald3,0)))</f>
        <v>0.29166666666666669</v>
      </c>
      <c r="M325" s="13">
        <f>IF(SUM(L325-ref!E$8)&lt;0,0,SUM(L325-ref!E$8))</f>
        <v>0</v>
      </c>
      <c r="N325" s="252">
        <f>L325-(hs!D324+hs!F324+hs!H324+hs!J324)</f>
        <v>0.29166666666666669</v>
      </c>
      <c r="O325" s="8">
        <f>IF(OR(F325="férié travaillé",F325="travail",F325="asa",F325="rtt"),J325-H325+IF(H325&gt;J325,1),INDEX(ref!$E$22:'ref'!$E$37,MATCH(F325,gerald2,0)))</f>
        <v>0</v>
      </c>
      <c r="P325" s="14">
        <f>IF(SUM(O325-ref!E$4)&lt;0,0,SUM(O325-ref!E$4))</f>
        <v>0</v>
      </c>
      <c r="Q325" s="21">
        <f>L325</f>
        <v>0.29166666666666669</v>
      </c>
      <c r="S325" s="136"/>
      <c r="T325" s="92"/>
      <c r="U325" s="129"/>
      <c r="V325" s="142">
        <f t="shared" ref="V325:V331" si="257">U325-T325</f>
        <v>0</v>
      </c>
      <c r="W325" s="141" t="str">
        <f>IF(V325="","",IF(SUM(V325-ref!E$38)&gt;0,0,IF(V325=0, "0:00", SUM(V325-ref!E$38))))</f>
        <v>0:00</v>
      </c>
      <c r="X325" s="136"/>
      <c r="Y325" s="92"/>
      <c r="Z325" s="247"/>
      <c r="AA325" s="142">
        <f>Z325-Y325</f>
        <v>0</v>
      </c>
      <c r="AB325" s="244" t="str">
        <f>IF(AA325="","",IF(SUM(AA325-ref!E$38)&gt;0,0,IF(AA325=0, "0:00", SUM(AA325-ref!E$38))))</f>
        <v>0:00</v>
      </c>
      <c r="AC325" s="29"/>
      <c r="AD325" s="106"/>
      <c r="AE325" s="111">
        <f>SUM(AF325:AF331)</f>
        <v>1</v>
      </c>
      <c r="AF325" s="77">
        <f t="shared" ref="AF325:AF331" si="258">IF(AND(H325&lt;&gt;"",J325&lt;&gt;""),1,0+OR(N(J324)&lt;N(H324),F325="récupération",F325="congé 1 jour",F325="congé 1/2 jour ",F325="congé 5h24",F325="arrêt maladie",F325="arrêt travail",F325="férié ",F325="congé parentale",F325="congé de naissance"))</f>
        <v>0</v>
      </c>
      <c r="AG325" s="19"/>
      <c r="AH325" s="176" t="s">
        <v>71</v>
      </c>
      <c r="AI325" s="54" t="s">
        <v>68</v>
      </c>
      <c r="AJ325" s="177" t="s">
        <v>72</v>
      </c>
      <c r="AK325" s="55" t="str" cm="1">
        <f t="array" ref="AK325">IF(ISNUMBER(G326),G326-_xlfn.AGGREGATE(14,6,(K$4:K325&lt;G326)*K$4:K325,1),"")</f>
        <v/>
      </c>
      <c r="AL325" s="20" t="str">
        <f>IF(ISNUMBER(AK325),ABS(IF(SUM(AK325-ref!E$9)&gt;0,0,SUM(AK325-ref!E$9))),"")</f>
        <v/>
      </c>
      <c r="AQ325"/>
    </row>
    <row r="326" spans="2:43" x14ac:dyDescent="0.25">
      <c r="B326" s="79" t="s">
        <v>1</v>
      </c>
      <c r="C326" s="85" t="s">
        <v>90</v>
      </c>
      <c r="D326" s="85"/>
      <c r="E326" s="154">
        <f t="shared" ref="E326:E331" si="259">E325+1</f>
        <v>44055</v>
      </c>
      <c r="F326" s="164" t="s">
        <v>60</v>
      </c>
      <c r="G326" s="155" t="str">
        <f t="shared" si="255"/>
        <v/>
      </c>
      <c r="H326" s="29"/>
      <c r="I326" s="23">
        <f t="shared" ref="I326:I331" si="260">SUM(V326+AA326+AC326)</f>
        <v>0</v>
      </c>
      <c r="J326" s="29"/>
      <c r="K326" s="46" t="str">
        <f t="shared" si="256"/>
        <v/>
      </c>
      <c r="L326" s="21">
        <f>IF(OR(F326="télétravail",F326="férié travaillé",F326="travail"),(J326-H326+IF(H326&gt;J326,1)-I326),INDEX(ref!$E$22:'ref'!$E$37,MATCH(F326,gerald3,0)))</f>
        <v>0.29166666666666669</v>
      </c>
      <c r="M326" s="13">
        <f>IF(SUM(L326-ref!E$8)&lt;0,0,SUM(L326-ref!E$8))</f>
        <v>0</v>
      </c>
      <c r="N326" s="252">
        <f>L326-(hs!D325+hs!F325+hs!H325+hs!J325)</f>
        <v>0.29166666666666669</v>
      </c>
      <c r="O326" s="8">
        <f>IF(OR(F326="férié travaillé",F326="travail",F326="asa",F326="rtt"),J326-H326+IF(H326&gt;J326,1),INDEX(ref!$E$22:'ref'!$E$37,MATCH(F326,gerald2,0)))</f>
        <v>0</v>
      </c>
      <c r="P326" s="14">
        <f>IF(SUM(O326-ref!E$4)&lt;0,0,SUM(O326-ref!E$4))</f>
        <v>0</v>
      </c>
      <c r="Q326" s="24">
        <f t="shared" ref="Q326:Q331" si="261">Q325+L326</f>
        <v>0.58333333333333337</v>
      </c>
      <c r="S326" s="137"/>
      <c r="T326" s="92"/>
      <c r="U326" s="129"/>
      <c r="V326" s="142">
        <f t="shared" si="257"/>
        <v>0</v>
      </c>
      <c r="W326" s="141" t="str">
        <f>IF(V326="","",IF(SUM(V326-ref!E$38)&gt;0,0,IF(V326=0, "0:00", SUM(V326-ref!E$38))))</f>
        <v>0:00</v>
      </c>
      <c r="X326" s="137"/>
      <c r="Y326" s="92"/>
      <c r="Z326" s="247"/>
      <c r="AA326" s="142">
        <f t="shared" ref="AA326:AA331" si="262">Z326-Y326</f>
        <v>0</v>
      </c>
      <c r="AB326" s="245" t="str">
        <f>IF(AA326="","",IF(SUM(AA326-ref!E$38)&gt;0,0,IF(AA326=0, "0:00", SUM(AA326-ref!E$38))))</f>
        <v>0:00</v>
      </c>
      <c r="AC326" s="29"/>
      <c r="AD326" s="106"/>
      <c r="AE326" s="112">
        <f>IF(SUM(AE325-ref!E$7)&lt;0,0,SUM(AE325-ref!E$7))</f>
        <v>0</v>
      </c>
      <c r="AF326" s="77">
        <f t="shared" si="258"/>
        <v>0</v>
      </c>
      <c r="AG326" s="19"/>
      <c r="AH326" s="178" t="s">
        <v>72</v>
      </c>
      <c r="AI326" s="54" t="s">
        <v>68</v>
      </c>
      <c r="AJ326" s="177" t="s">
        <v>73</v>
      </c>
      <c r="AK326" s="55" t="str" cm="1">
        <f t="array" ref="AK326">IF(ISNUMBER(G327),G327-_xlfn.AGGREGATE(14,6,(K$4:K326&lt;G327)*K$4:K326,1),"")</f>
        <v/>
      </c>
      <c r="AL326" s="20" t="str">
        <f>IF(ISNUMBER(AK326),ABS(IF(SUM(AK326-ref!E$9)&gt;0,0,SUM(AK326-ref!E$9))),"")</f>
        <v/>
      </c>
      <c r="AQ326"/>
    </row>
    <row r="327" spans="2:43" x14ac:dyDescent="0.25">
      <c r="B327" s="80">
        <v>12</v>
      </c>
      <c r="C327" s="85" t="s">
        <v>90</v>
      </c>
      <c r="D327" s="85"/>
      <c r="E327" s="154">
        <f t="shared" si="259"/>
        <v>44056</v>
      </c>
      <c r="F327" s="164" t="s">
        <v>60</v>
      </c>
      <c r="G327" s="155" t="str">
        <f t="shared" si="255"/>
        <v/>
      </c>
      <c r="H327" s="29"/>
      <c r="I327" s="23">
        <f t="shared" si="260"/>
        <v>0</v>
      </c>
      <c r="J327" s="29"/>
      <c r="K327" s="46" t="str">
        <f t="shared" si="256"/>
        <v/>
      </c>
      <c r="L327" s="21">
        <f>IF(OR(F327="télétravail",F327="férié travaillé",F327="travail"),(J327-H327+IF(H327&gt;J327,1)-I327),INDEX(ref!$E$22:'ref'!$E$37,MATCH(F327,gerald3,0)))</f>
        <v>0.29166666666666669</v>
      </c>
      <c r="M327" s="13">
        <f>IF(SUM(L327-ref!E$8)&lt;0,0,SUM(L327-ref!E$8))</f>
        <v>0</v>
      </c>
      <c r="N327" s="252">
        <f>L327-(hs!D326+hs!F326+hs!H326+hs!J326)</f>
        <v>0.29166666666666669</v>
      </c>
      <c r="O327" s="8">
        <f>IF(OR(F327="férié travaillé",F327="travail",F327="asa",F327="rtt"),J327-H327+IF(H327&gt;J327,1),INDEX(ref!$E$22:'ref'!$E$37,MATCH(F327,gerald2,0)))</f>
        <v>0</v>
      </c>
      <c r="P327" s="14">
        <f>IF(SUM(O327-ref!E$4)&lt;0,0,SUM(O327-ref!E$4))</f>
        <v>0</v>
      </c>
      <c r="Q327" s="24">
        <f t="shared" si="261"/>
        <v>0.875</v>
      </c>
      <c r="S327" s="137"/>
      <c r="T327" s="92"/>
      <c r="U327" s="129"/>
      <c r="V327" s="142">
        <f t="shared" si="257"/>
        <v>0</v>
      </c>
      <c r="W327" s="141" t="str">
        <f>IF(V327="","",IF(SUM(V327-ref!E$38)&gt;0,0,IF(V327=0, "0:00", SUM(V327-ref!E$38))))</f>
        <v>0:00</v>
      </c>
      <c r="X327" s="137"/>
      <c r="Y327" s="92"/>
      <c r="Z327" s="247"/>
      <c r="AA327" s="142">
        <f t="shared" si="262"/>
        <v>0</v>
      </c>
      <c r="AB327" s="245" t="str">
        <f>IF(AA327="","",IF(SUM(AA327-ref!E$38)&gt;0,0,IF(AA327=0, "0:00", SUM(AA327-ref!E$38))))</f>
        <v>0:00</v>
      </c>
      <c r="AC327" s="29"/>
      <c r="AD327" s="106"/>
      <c r="AE327" s="113" t="s">
        <v>29</v>
      </c>
      <c r="AF327" s="77">
        <f t="shared" si="258"/>
        <v>0</v>
      </c>
      <c r="AG327" s="19"/>
      <c r="AH327" s="178" t="s">
        <v>73</v>
      </c>
      <c r="AI327" s="54" t="s">
        <v>68</v>
      </c>
      <c r="AJ327" s="177" t="s">
        <v>74</v>
      </c>
      <c r="AK327" s="55" t="str" cm="1">
        <f t="array" ref="AK327">IF(ISNUMBER(G328),G328-_xlfn.AGGREGATE(14,6,(K$4:K327&lt;G328)*K$4:K327,1),"")</f>
        <v/>
      </c>
      <c r="AL327" s="20" t="str">
        <f>IF(ISNUMBER(AK327),ABS(IF(SUM(AK327-ref!E$9)&gt;0,0,SUM(AK327-ref!E$9))),"")</f>
        <v/>
      </c>
      <c r="AQ327"/>
    </row>
    <row r="328" spans="2:43" x14ac:dyDescent="0.25">
      <c r="B328" s="79" t="s">
        <v>58</v>
      </c>
      <c r="C328" s="85" t="s">
        <v>90</v>
      </c>
      <c r="D328" s="85"/>
      <c r="E328" s="154">
        <f t="shared" si="259"/>
        <v>44057</v>
      </c>
      <c r="F328" s="164" t="s">
        <v>26</v>
      </c>
      <c r="G328" s="155" t="str">
        <f t="shared" si="255"/>
        <v/>
      </c>
      <c r="H328" s="29"/>
      <c r="I328" s="23">
        <f t="shared" si="260"/>
        <v>0</v>
      </c>
      <c r="J328" s="29"/>
      <c r="K328" s="46" t="str">
        <f t="shared" si="256"/>
        <v/>
      </c>
      <c r="L328" s="21">
        <f>IF(OR(F328="télétravail",F328="férié travaillé",F328="travail"),(J328-H328+IF(H328&gt;J328,1)-I328),INDEX(ref!$E$22:'ref'!$E$37,MATCH(F328,gerald3,0)))</f>
        <v>0.29166666666666669</v>
      </c>
      <c r="M328" s="13">
        <f>IF(SUM(L328-ref!E$8)&lt;0,0,SUM(L328-ref!E$8))</f>
        <v>0</v>
      </c>
      <c r="N328" s="252">
        <f>L328-(hs!D327+hs!F327+hs!H327+hs!J327)</f>
        <v>0.29166666666666669</v>
      </c>
      <c r="O328" s="8">
        <f>IF(OR(F328="férié travaillé",F328="travail",F328="asa",F328="rtt"),J328-H328+IF(H328&gt;J328,1),INDEX(ref!$E$22:'ref'!$E$37,MATCH(F328,gerald2,0)))</f>
        <v>0.29166666666666669</v>
      </c>
      <c r="P328" s="14">
        <f>IF(SUM(O328-ref!E$4)&lt;0,0,SUM(O328-ref!E$4))</f>
        <v>0</v>
      </c>
      <c r="Q328" s="93">
        <f t="shared" si="261"/>
        <v>1.1666666666666667</v>
      </c>
      <c r="S328" s="137"/>
      <c r="T328" s="92"/>
      <c r="U328" s="129"/>
      <c r="V328" s="142">
        <f t="shared" si="257"/>
        <v>0</v>
      </c>
      <c r="W328" s="141" t="str">
        <f>IF(V328="","",IF(SUM(V328-ref!E$38)&gt;0,0,IF(V328=0, "0:00", SUM(V328-ref!E$38))))</f>
        <v>0:00</v>
      </c>
      <c r="X328" s="137"/>
      <c r="Y328" s="92"/>
      <c r="Z328" s="247"/>
      <c r="AA328" s="142">
        <f t="shared" si="262"/>
        <v>0</v>
      </c>
      <c r="AB328" s="245" t="str">
        <f>IF(AA328="","",IF(SUM(AA328-ref!E$38)&gt;0,0,IF(AA328=0, "0:00", SUM(AA328-ref!E$38))))</f>
        <v>0:00</v>
      </c>
      <c r="AC328" s="29"/>
      <c r="AD328" s="106"/>
      <c r="AE328" s="114">
        <f>Q331</f>
        <v>1.4583333333333335</v>
      </c>
      <c r="AF328" s="77">
        <f t="shared" si="258"/>
        <v>1</v>
      </c>
      <c r="AG328" s="19"/>
      <c r="AH328" s="178" t="s">
        <v>74</v>
      </c>
      <c r="AI328" s="54" t="s">
        <v>68</v>
      </c>
      <c r="AJ328" s="177" t="s">
        <v>75</v>
      </c>
      <c r="AK328" s="55" t="str" cm="1">
        <f t="array" ref="AK328">IF(ISNUMBER(G329),G329-_xlfn.AGGREGATE(14,6,(K$4:K328&lt;G329)*K$4:K328,1),"")</f>
        <v/>
      </c>
      <c r="AL328" s="20" t="str">
        <f>IF(ISNUMBER(AK328),ABS(IF(SUM(AK328-ref!E$9)&gt;0,0,SUM(AK328-ref!E$9))),"")</f>
        <v/>
      </c>
      <c r="AQ328"/>
    </row>
    <row r="329" spans="2:43" x14ac:dyDescent="0.25">
      <c r="B329" s="81">
        <v>8</v>
      </c>
      <c r="C329" s="86" t="s">
        <v>90</v>
      </c>
      <c r="D329" s="86"/>
      <c r="E329" s="154">
        <f t="shared" si="259"/>
        <v>44058</v>
      </c>
      <c r="F329" s="164" t="s">
        <v>60</v>
      </c>
      <c r="G329" s="155" t="str">
        <f t="shared" si="255"/>
        <v/>
      </c>
      <c r="H329" s="29"/>
      <c r="I329" s="23">
        <f t="shared" si="260"/>
        <v>0</v>
      </c>
      <c r="J329" s="29"/>
      <c r="K329" s="46" t="str">
        <f t="shared" si="256"/>
        <v/>
      </c>
      <c r="L329" s="21">
        <f>IF(OR(F329="télétravail",F329="férié travaillé",F329="travail"),(J329-H329+IF(H329&gt;J329,1)-I329),INDEX(ref!$E$22:'ref'!$E$37,MATCH(F329,gerald3,0)))</f>
        <v>0.29166666666666669</v>
      </c>
      <c r="M329" s="13">
        <f>IF(SUM(L329-ref!E$8)&lt;0,0,SUM(L329-ref!E$8))</f>
        <v>0</v>
      </c>
      <c r="N329" s="252">
        <f>L329-(hs!D328+hs!F328+hs!H328+hs!J328)</f>
        <v>0.29166666666666669</v>
      </c>
      <c r="O329" s="8">
        <f>IF(OR(F329="férié travaillé",F329="travail",F329="asa",F329="rtt"),J329-H329+IF(H329&gt;J329,1),INDEX(ref!$E$22:'ref'!$E$37,MATCH(F329,gerald2,0)))</f>
        <v>0</v>
      </c>
      <c r="P329" s="14">
        <f>IF(SUM(O329-ref!E$4)&lt;0,0,SUM(O329-ref!E$4))</f>
        <v>0</v>
      </c>
      <c r="Q329" s="24">
        <f t="shared" si="261"/>
        <v>1.4583333333333335</v>
      </c>
      <c r="S329" s="137"/>
      <c r="T329" s="92"/>
      <c r="U329" s="129"/>
      <c r="V329" s="142">
        <f t="shared" si="257"/>
        <v>0</v>
      </c>
      <c r="W329" s="141" t="str">
        <f>IF(V329="","",IF(SUM(V329-ref!E$38)&gt;0,0,IF(V329=0, "0:00", SUM(V329-ref!E$38))))</f>
        <v>0:00</v>
      </c>
      <c r="X329" s="137"/>
      <c r="Y329" s="92"/>
      <c r="Z329" s="247"/>
      <c r="AA329" s="142">
        <f t="shared" si="262"/>
        <v>0</v>
      </c>
      <c r="AB329" s="245" t="str">
        <f>IF(AA329="","",IF(SUM(AA329-ref!E$38)&gt;0,0,IF(AA329=0, "0:00", SUM(AA329-ref!E$38))))</f>
        <v>0:00</v>
      </c>
      <c r="AC329" s="29"/>
      <c r="AD329" s="106"/>
      <c r="AE329" s="117" t="s">
        <v>47</v>
      </c>
      <c r="AF329" s="77">
        <f t="shared" si="258"/>
        <v>0</v>
      </c>
      <c r="AG329" s="19"/>
      <c r="AH329" s="178" t="s">
        <v>75</v>
      </c>
      <c r="AI329" s="54" t="s">
        <v>68</v>
      </c>
      <c r="AJ329" s="177" t="s">
        <v>76</v>
      </c>
      <c r="AK329" s="55" t="str" cm="1">
        <f t="array" ref="AK329">IF(ISNUMBER(G330),G330-_xlfn.AGGREGATE(14,6,(K$4:K329&lt;G330)*K$4:K329,1),"")</f>
        <v/>
      </c>
      <c r="AL329" s="20" t="str">
        <f>IF(ISNUMBER(AK329),ABS(IF(SUM(AK329-ref!E$9)&gt;0,0,SUM(AK329-ref!E$9))),"")</f>
        <v/>
      </c>
      <c r="AQ329"/>
    </row>
    <row r="330" spans="2:43" ht="15.75" thickBot="1" x14ac:dyDescent="0.3">
      <c r="B330"/>
      <c r="C330"/>
      <c r="D330"/>
      <c r="E330" s="154">
        <f t="shared" si="259"/>
        <v>44059</v>
      </c>
      <c r="F330" s="164" t="s">
        <v>19</v>
      </c>
      <c r="G330" s="155" t="str">
        <f t="shared" si="255"/>
        <v/>
      </c>
      <c r="H330" s="29"/>
      <c r="I330" s="23">
        <f t="shared" si="260"/>
        <v>0</v>
      </c>
      <c r="J330" s="29"/>
      <c r="K330" s="46" t="str">
        <f t="shared" si="256"/>
        <v/>
      </c>
      <c r="L330" s="21">
        <f>IF(OR(F330="télétravail",F330="férié travaillé",F330="travail"),(J330-H330+IF(H330&gt;J330,1)-I330),INDEX(ref!$E$22:'ref'!$E$37,MATCH(F330,gerald3,0)))</f>
        <v>0</v>
      </c>
      <c r="M330" s="13">
        <f>IF(SUM(L330-ref!E$8)&lt;0,0,SUM(L330-ref!E$8))</f>
        <v>0</v>
      </c>
      <c r="N330" s="252">
        <f>L330-(hs!D329+hs!F329+hs!H329+hs!J329)</f>
        <v>0</v>
      </c>
      <c r="O330" s="8">
        <f>IF(OR(F330="férié travaillé",F330="travail",F330="asa",F330="rtt"),J330-H330+IF(H330&gt;J330,1),INDEX(ref!$E$22:'ref'!$E$37,MATCH(F330,gerald2,0)))</f>
        <v>0</v>
      </c>
      <c r="P330" s="14">
        <f>IF(SUM(O330-ref!E$4)&lt;0,0,SUM(O330-ref!E$4))</f>
        <v>0</v>
      </c>
      <c r="Q330" s="97">
        <f t="shared" si="261"/>
        <v>1.4583333333333335</v>
      </c>
      <c r="S330" s="137"/>
      <c r="T330" s="92"/>
      <c r="U330" s="129"/>
      <c r="V330" s="142">
        <f t="shared" si="257"/>
        <v>0</v>
      </c>
      <c r="W330" s="141" t="str">
        <f>IF(V330="","",IF(SUM(V330-ref!E$38)&gt;0,0,IF(V330=0, "0:00", SUM(V330-ref!E$38))))</f>
        <v>0:00</v>
      </c>
      <c r="X330" s="137"/>
      <c r="Y330" s="92"/>
      <c r="Z330" s="247"/>
      <c r="AA330" s="142">
        <f t="shared" si="262"/>
        <v>0</v>
      </c>
      <c r="AB330" s="245" t="str">
        <f>IF(AA330="","",IF(SUM(AA330-ref!E$38)&gt;0,0,IF(AA330=0, "0:00", SUM(AA330-ref!E$38))))</f>
        <v>0:00</v>
      </c>
      <c r="AC330" s="29"/>
      <c r="AD330" s="106"/>
      <c r="AE330" s="118">
        <f>ref!E$11</f>
        <v>2</v>
      </c>
      <c r="AF330" s="77">
        <f t="shared" si="258"/>
        <v>0</v>
      </c>
      <c r="AG330" s="19"/>
      <c r="AH330" s="178" t="s">
        <v>76</v>
      </c>
      <c r="AI330" s="54" t="s">
        <v>68</v>
      </c>
      <c r="AJ330" s="177" t="s">
        <v>77</v>
      </c>
      <c r="AK330" s="55" t="str" cm="1">
        <f t="array" ref="AK330">IF(ISNUMBER(G331),G331-_xlfn.AGGREGATE(14,6,(K$4:K330&lt;G331)*K$4:K330,1),"")</f>
        <v/>
      </c>
      <c r="AL330" s="20" t="str">
        <f>IF(ISNUMBER(AK330),ABS(IF(SUM(AK330-ref!E$9)&gt;0,0,SUM(AK330-ref!E$9))),"")</f>
        <v/>
      </c>
      <c r="AQ330"/>
    </row>
    <row r="331" spans="2:43" ht="15.75" thickBot="1" x14ac:dyDescent="0.3">
      <c r="B331"/>
      <c r="C331"/>
      <c r="D331"/>
      <c r="E331" s="154">
        <f t="shared" si="259"/>
        <v>44060</v>
      </c>
      <c r="F331" s="165" t="s">
        <v>19</v>
      </c>
      <c r="G331" s="155" t="str">
        <f t="shared" si="255"/>
        <v/>
      </c>
      <c r="H331" s="29"/>
      <c r="I331" s="23">
        <f t="shared" si="260"/>
        <v>0</v>
      </c>
      <c r="J331" s="29"/>
      <c r="K331" s="46" t="str">
        <f t="shared" si="256"/>
        <v/>
      </c>
      <c r="L331" s="21">
        <f>IF(OR(F331="télétravail",F331="férié travaillé",F331="travail"),(J331-H331+IF(H331&gt;J331,1)-I331),INDEX(ref!$E$22:'ref'!$E$37,MATCH(F331,gerald3,0)))</f>
        <v>0</v>
      </c>
      <c r="M331" s="13">
        <f>IF(SUM(L331-ref!E$8)&lt;0,0,SUM(L331-ref!E$8))</f>
        <v>0</v>
      </c>
      <c r="N331" s="252">
        <f>L331-(hs!D330+hs!F330+hs!H330+hs!J330)</f>
        <v>0</v>
      </c>
      <c r="O331" s="8">
        <f>IF(OR(F331="férié travaillé",F331="travail",F331="asa",F331="rtt"),J331-H331+IF(H331&gt;J331,1),INDEX(ref!$E$22:'ref'!$E$37,MATCH(F331,gerald2,0)))</f>
        <v>0</v>
      </c>
      <c r="P331" s="14">
        <f>IF(SUM(O331-ref!E$4)&lt;0,0,SUM(O331-ref!E$4))</f>
        <v>0</v>
      </c>
      <c r="Q331" s="94">
        <f t="shared" si="261"/>
        <v>1.4583333333333335</v>
      </c>
      <c r="S331" s="138"/>
      <c r="T331" s="92"/>
      <c r="U331" s="129"/>
      <c r="V331" s="142">
        <f t="shared" si="257"/>
        <v>0</v>
      </c>
      <c r="W331" s="141" t="str">
        <f>IF(V331="","",IF(SUM(V331-ref!E$38)&gt;0,0,IF(V331=0, "0:00", SUM(V331-ref!E$38))))</f>
        <v>0:00</v>
      </c>
      <c r="X331" s="138"/>
      <c r="Y331" s="92"/>
      <c r="Z331" s="247"/>
      <c r="AA331" s="142">
        <f t="shared" si="262"/>
        <v>0</v>
      </c>
      <c r="AB331" s="246" t="str">
        <f>IF(AA331="","",IF(SUM(AA331-ref!E$38)&gt;0,0,IF(AA331=0, "0:00", SUM(AA331-ref!E$38))))</f>
        <v>0:00</v>
      </c>
      <c r="AC331" s="29"/>
      <c r="AD331" s="106"/>
      <c r="AE331" s="110">
        <f>IF(SUM(Q331-ref!E$11)&lt;0,0,SUM(Q331-ref!E$11))</f>
        <v>0</v>
      </c>
      <c r="AF331" s="77">
        <f t="shared" si="258"/>
        <v>0</v>
      </c>
      <c r="AG331" s="19"/>
      <c r="AQ331"/>
    </row>
    <row r="332" spans="2:43" x14ac:dyDescent="0.25">
      <c r="F332" s="127"/>
      <c r="S332" s="127"/>
      <c r="W332" s="74"/>
      <c r="X332" s="2"/>
      <c r="Z332"/>
      <c r="AA332" s="2"/>
      <c r="AB332" s="2"/>
      <c r="AC332" s="127"/>
      <c r="AQ332"/>
    </row>
    <row r="333" spans="2:43" x14ac:dyDescent="0.25">
      <c r="X333" s="2"/>
      <c r="Z333"/>
      <c r="AA333" s="2"/>
      <c r="AB333" s="2"/>
      <c r="AC333" s="127"/>
      <c r="AQ333"/>
    </row>
    <row r="334" spans="2:43" ht="15.75" thickBot="1" x14ac:dyDescent="0.3">
      <c r="W334" s="74"/>
      <c r="X334" s="2"/>
      <c r="Z334"/>
      <c r="AA334" s="2"/>
      <c r="AB334" s="2"/>
      <c r="AC334" s="127"/>
      <c r="AQ334"/>
    </row>
    <row r="335" spans="2:43" x14ac:dyDescent="0.25">
      <c r="B335" s="78" t="s">
        <v>1</v>
      </c>
      <c r="C335" s="85" t="s">
        <v>90</v>
      </c>
      <c r="D335" s="85"/>
      <c r="E335" s="154">
        <f>DATE(ref!E$2,B339,B337)</f>
        <v>44061</v>
      </c>
      <c r="F335" s="163" t="s">
        <v>21</v>
      </c>
      <c r="G335" s="155" t="str">
        <f t="shared" ref="G335:G341" si="263">IF(AND(J335="",H335=""),"",E335+H335)</f>
        <v/>
      </c>
      <c r="H335" s="29"/>
      <c r="I335" s="23">
        <f>SUM(V335+AA335+AC335)</f>
        <v>0</v>
      </c>
      <c r="J335" s="29"/>
      <c r="K335" s="46" t="str">
        <f t="shared" ref="K335:K341" si="264">IF(AND(H335="",J335=""),"",E335+J335+(H335&gt;J335))</f>
        <v/>
      </c>
      <c r="L335" s="21">
        <f>IF(OR(F335="télétravail",F335="férié travaillé",F335="travail"),(J335-H335+IF(H335&gt;J335,1)-I335),INDEX(ref!$E$22:'ref'!$E$37,MATCH(F335,gerald3,0)))</f>
        <v>0.29166666666666669</v>
      </c>
      <c r="M335" s="13">
        <f>IF(SUM(L335-ref!E$8)&lt;0,0,SUM(L335-ref!E$8))</f>
        <v>0</v>
      </c>
      <c r="N335" s="252">
        <f>L335-(hs!D334+hs!F334+hs!H334+hs!J334)</f>
        <v>0.29166666666666669</v>
      </c>
      <c r="O335" s="8">
        <f>IF(OR(F335="férié travaillé",F335="travail",F335="asa",F335="rtt"),J335-H335+IF(H335&gt;J335,1),INDEX(ref!$E$22:'ref'!$E$37,MATCH(F335,gerald2,0)))</f>
        <v>0.29166666666666669</v>
      </c>
      <c r="P335" s="14">
        <f>IF(SUM(O335-ref!E$4)&lt;0,0,SUM(O335-ref!E$4))</f>
        <v>0</v>
      </c>
      <c r="Q335" s="21">
        <f>L335</f>
        <v>0.29166666666666669</v>
      </c>
      <c r="S335" s="136"/>
      <c r="T335" s="92"/>
      <c r="U335" s="129"/>
      <c r="V335" s="142">
        <f t="shared" ref="V335:V341" si="265">U335-T335</f>
        <v>0</v>
      </c>
      <c r="W335" s="141" t="str">
        <f>IF(V335="","",IF(SUM(V335-ref!E$38)&gt;0,0,IF(V335=0, "0:00", SUM(V335-ref!E$38))))</f>
        <v>0:00</v>
      </c>
      <c r="X335" s="136"/>
      <c r="Y335" s="92"/>
      <c r="Z335" s="247"/>
      <c r="AA335" s="142">
        <f>Z335-Y335</f>
        <v>0</v>
      </c>
      <c r="AB335" s="244" t="str">
        <f>IF(AA335="","",IF(SUM(AA335-ref!E$38)&gt;0,0,IF(AA335=0, "0:00", SUM(AA335-ref!E$38))))</f>
        <v>0:00</v>
      </c>
      <c r="AC335" s="29"/>
      <c r="AD335" s="106"/>
      <c r="AE335" s="111">
        <f>SUM(AF335:AF341)</f>
        <v>3</v>
      </c>
      <c r="AF335" s="77">
        <f t="shared" ref="AF335:AF341" si="266">IF(AND(H335&lt;&gt;"",J335&lt;&gt;""),1,0+OR(N(J334)&lt;N(H334),F335="récupération",F335="congé 1 jour",F335="congé 1/2 jour ",F335="congé 5h24",F335="arrêt maladie",F335="arrêt travail",F335="férié ",F335="congé parentale",F335="congé de naissance"))</f>
        <v>1</v>
      </c>
      <c r="AG335" s="19"/>
      <c r="AH335" s="176" t="s">
        <v>71</v>
      </c>
      <c r="AI335" s="54" t="s">
        <v>68</v>
      </c>
      <c r="AJ335" s="177" t="s">
        <v>72</v>
      </c>
      <c r="AK335" s="55" t="str" cm="1">
        <f t="array" ref="AK335">IF(ISNUMBER(G336),G336-_xlfn.AGGREGATE(14,6,(K$4:K335&lt;G336)*K$4:K335,1),"")</f>
        <v/>
      </c>
      <c r="AL335" s="20" t="str">
        <f>IF(ISNUMBER(AK335),ABS(IF(SUM(AK335-ref!E$9)&gt;0,0,SUM(AK335-ref!E$9))),"")</f>
        <v/>
      </c>
      <c r="AQ335"/>
    </row>
    <row r="336" spans="2:43" x14ac:dyDescent="0.25">
      <c r="B336" s="79" t="s">
        <v>1</v>
      </c>
      <c r="C336" s="85" t="s">
        <v>90</v>
      </c>
      <c r="D336" s="85"/>
      <c r="E336" s="154">
        <f t="shared" ref="E336:E341" si="267">E335+1</f>
        <v>44062</v>
      </c>
      <c r="F336" s="164" t="s">
        <v>21</v>
      </c>
      <c r="G336" s="155" t="str">
        <f t="shared" si="263"/>
        <v/>
      </c>
      <c r="H336" s="29"/>
      <c r="I336" s="23">
        <f t="shared" ref="I336:I341" si="268">SUM(V336+AA336+AC336)</f>
        <v>0</v>
      </c>
      <c r="J336" s="29"/>
      <c r="K336" s="46" t="str">
        <f t="shared" si="264"/>
        <v/>
      </c>
      <c r="L336" s="21">
        <f>IF(OR(F336="télétravail",F336="férié travaillé",F336="travail"),(J336-H336+IF(H336&gt;J336,1)-I336),INDEX(ref!$E$22:'ref'!$E$37,MATCH(F336,gerald3,0)))</f>
        <v>0.29166666666666669</v>
      </c>
      <c r="M336" s="13">
        <f>IF(SUM(L336-ref!E$8)&lt;0,0,SUM(L336-ref!E$8))</f>
        <v>0</v>
      </c>
      <c r="N336" s="252">
        <f>L336-(hs!D335+hs!F335+hs!H335+hs!J335)</f>
        <v>0.29166666666666669</v>
      </c>
      <c r="O336" s="8">
        <f>IF(OR(F336="férié travaillé",F336="travail",F336="asa",F336="rtt"),J336-H336+IF(H336&gt;J336,1),INDEX(ref!$E$22:'ref'!$E$37,MATCH(F336,gerald2,0)))</f>
        <v>0.29166666666666669</v>
      </c>
      <c r="P336" s="14">
        <f>IF(SUM(O336-ref!E$4)&lt;0,0,SUM(O336-ref!E$4))</f>
        <v>0</v>
      </c>
      <c r="Q336" s="24">
        <f t="shared" ref="Q336:Q341" si="269">Q335+L336</f>
        <v>0.58333333333333337</v>
      </c>
      <c r="S336" s="137"/>
      <c r="T336" s="92"/>
      <c r="U336" s="129"/>
      <c r="V336" s="142">
        <f t="shared" si="265"/>
        <v>0</v>
      </c>
      <c r="W336" s="141" t="str">
        <f>IF(V336="","",IF(SUM(V336-ref!E$38)&gt;0,0,IF(V336=0, "0:00", SUM(V336-ref!E$38))))</f>
        <v>0:00</v>
      </c>
      <c r="X336" s="137"/>
      <c r="Y336" s="92"/>
      <c r="Z336" s="247"/>
      <c r="AA336" s="142">
        <f t="shared" ref="AA336:AA341" si="270">Z336-Y336</f>
        <v>0</v>
      </c>
      <c r="AB336" s="245" t="str">
        <f>IF(AA336="","",IF(SUM(AA336-ref!E$38)&gt;0,0,IF(AA336=0, "0:00", SUM(AA336-ref!E$38))))</f>
        <v>0:00</v>
      </c>
      <c r="AC336" s="29"/>
      <c r="AD336" s="106"/>
      <c r="AE336" s="112">
        <f>IF(SUM(AE335-ref!E$7)&lt;0,0,SUM(AE335-ref!E$7))</f>
        <v>0</v>
      </c>
      <c r="AF336" s="77">
        <f t="shared" si="266"/>
        <v>1</v>
      </c>
      <c r="AG336" s="19"/>
      <c r="AH336" s="178" t="s">
        <v>72</v>
      </c>
      <c r="AI336" s="54" t="s">
        <v>68</v>
      </c>
      <c r="AJ336" s="177" t="s">
        <v>73</v>
      </c>
      <c r="AK336" s="55" t="str" cm="1">
        <f t="array" ref="AK336">IF(ISNUMBER(G337),G337-_xlfn.AGGREGATE(14,6,(K$4:K336&lt;G337)*K$4:K336,1),"")</f>
        <v/>
      </c>
      <c r="AL336" s="20" t="str">
        <f>IF(ISNUMBER(AK336),ABS(IF(SUM(AK336-ref!E$9)&gt;0,0,SUM(AK336-ref!E$9))),"")</f>
        <v/>
      </c>
      <c r="AQ336"/>
    </row>
    <row r="337" spans="2:43" x14ac:dyDescent="0.25">
      <c r="B337" s="80">
        <v>19</v>
      </c>
      <c r="C337" s="85" t="s">
        <v>90</v>
      </c>
      <c r="D337" s="85"/>
      <c r="E337" s="154">
        <f t="shared" si="267"/>
        <v>44063</v>
      </c>
      <c r="F337" s="164" t="s">
        <v>21</v>
      </c>
      <c r="G337" s="155" t="str">
        <f t="shared" si="263"/>
        <v/>
      </c>
      <c r="H337" s="29"/>
      <c r="I337" s="23">
        <f t="shared" si="268"/>
        <v>0</v>
      </c>
      <c r="J337" s="29"/>
      <c r="K337" s="46" t="str">
        <f t="shared" si="264"/>
        <v/>
      </c>
      <c r="L337" s="21">
        <f>IF(OR(F337="télétravail",F337="férié travaillé",F337="travail"),(J337-H337+IF(H337&gt;J337,1)-I337),INDEX(ref!$E$22:'ref'!$E$37,MATCH(F337,gerald3,0)))</f>
        <v>0.29166666666666669</v>
      </c>
      <c r="M337" s="13">
        <f>IF(SUM(L337-ref!E$8)&lt;0,0,SUM(L337-ref!E$8))</f>
        <v>0</v>
      </c>
      <c r="N337" s="252">
        <f>L337-(hs!D336+hs!F336+hs!H336+hs!J336)</f>
        <v>0.29166666666666669</v>
      </c>
      <c r="O337" s="8">
        <f>IF(OR(F337="férié travaillé",F337="travail",F337="asa",F337="rtt"),J337-H337+IF(H337&gt;J337,1),INDEX(ref!$E$22:'ref'!$E$37,MATCH(F337,gerald2,0)))</f>
        <v>0.29166666666666669</v>
      </c>
      <c r="P337" s="14">
        <f>IF(SUM(O337-ref!E$4)&lt;0,0,SUM(O337-ref!E$4))</f>
        <v>0</v>
      </c>
      <c r="Q337" s="24">
        <f t="shared" si="269"/>
        <v>0.875</v>
      </c>
      <c r="S337" s="137"/>
      <c r="T337" s="92"/>
      <c r="U337" s="129"/>
      <c r="V337" s="142">
        <f t="shared" si="265"/>
        <v>0</v>
      </c>
      <c r="W337" s="141" t="str">
        <f>IF(V337="","",IF(SUM(V337-ref!E$38)&gt;0,0,IF(V337=0, "0:00", SUM(V337-ref!E$38))))</f>
        <v>0:00</v>
      </c>
      <c r="X337" s="137"/>
      <c r="Y337" s="92"/>
      <c r="Z337" s="247"/>
      <c r="AA337" s="142">
        <f t="shared" si="270"/>
        <v>0</v>
      </c>
      <c r="AB337" s="245" t="str">
        <f>IF(AA337="","",IF(SUM(AA337-ref!E$38)&gt;0,0,IF(AA337=0, "0:00", SUM(AA337-ref!E$38))))</f>
        <v>0:00</v>
      </c>
      <c r="AC337" s="29"/>
      <c r="AD337" s="106"/>
      <c r="AE337" s="113" t="s">
        <v>29</v>
      </c>
      <c r="AF337" s="77">
        <f t="shared" si="266"/>
        <v>1</v>
      </c>
      <c r="AG337" s="19"/>
      <c r="AH337" s="178" t="s">
        <v>73</v>
      </c>
      <c r="AI337" s="54" t="s">
        <v>68</v>
      </c>
      <c r="AJ337" s="177" t="s">
        <v>74</v>
      </c>
      <c r="AK337" s="55" t="str" cm="1">
        <f t="array" ref="AK337">IF(ISNUMBER(G338),G338-_xlfn.AGGREGATE(14,6,(K$4:K337&lt;G338)*K$4:K337,1),"")</f>
        <v/>
      </c>
      <c r="AL337" s="20" t="str">
        <f>IF(ISNUMBER(AK337),ABS(IF(SUM(AK337-ref!E$9)&gt;0,0,SUM(AK337-ref!E$9))),"")</f>
        <v/>
      </c>
      <c r="AQ337"/>
    </row>
    <row r="338" spans="2:43" x14ac:dyDescent="0.25">
      <c r="B338" s="79" t="s">
        <v>58</v>
      </c>
      <c r="C338" s="85" t="s">
        <v>90</v>
      </c>
      <c r="D338" s="85"/>
      <c r="E338" s="154">
        <f t="shared" si="267"/>
        <v>44064</v>
      </c>
      <c r="F338" s="164" t="s">
        <v>20</v>
      </c>
      <c r="G338" s="155" t="str">
        <f t="shared" si="263"/>
        <v/>
      </c>
      <c r="H338" s="29"/>
      <c r="I338" s="23">
        <f t="shared" si="268"/>
        <v>0</v>
      </c>
      <c r="J338" s="29"/>
      <c r="K338" s="46" t="str">
        <f t="shared" si="264"/>
        <v/>
      </c>
      <c r="L338" s="21">
        <f>IF(OR(F338="télétravail",F338="férié travaillé",F338="travail"),(J338-H338+IF(H338&gt;J338,1)-I338),INDEX(ref!$E$22:'ref'!$E$37,MATCH(F338,gerald3,0)))</f>
        <v>0</v>
      </c>
      <c r="M338" s="13">
        <f>IF(SUM(L338-ref!E$8)&lt;0,0,SUM(L338-ref!E$8))</f>
        <v>0</v>
      </c>
      <c r="N338" s="252">
        <f>L338-(hs!D337+hs!F337+hs!H337+hs!J337)</f>
        <v>0</v>
      </c>
      <c r="O338" s="8">
        <f>IF(OR(F338="férié travaillé",F338="travail",F338="asa",F338="rtt"),J338-H338+IF(H338&gt;J338,1),INDEX(ref!$E$22:'ref'!$E$37,MATCH(F338,gerald2,0)))</f>
        <v>0</v>
      </c>
      <c r="P338" s="14">
        <f>IF(SUM(O338-ref!E$4)&lt;0,0,SUM(O338-ref!E$4))</f>
        <v>0</v>
      </c>
      <c r="Q338" s="93">
        <f t="shared" si="269"/>
        <v>0.875</v>
      </c>
      <c r="S338" s="137"/>
      <c r="T338" s="92"/>
      <c r="U338" s="129"/>
      <c r="V338" s="142">
        <f t="shared" si="265"/>
        <v>0</v>
      </c>
      <c r="W338" s="141" t="str">
        <f>IF(V338="","",IF(SUM(V338-ref!E$38)&gt;0,0,IF(V338=0, "0:00", SUM(V338-ref!E$38))))</f>
        <v>0:00</v>
      </c>
      <c r="X338" s="137"/>
      <c r="Y338" s="92"/>
      <c r="Z338" s="247"/>
      <c r="AA338" s="142">
        <f t="shared" si="270"/>
        <v>0</v>
      </c>
      <c r="AB338" s="245" t="str">
        <f>IF(AA338="","",IF(SUM(AA338-ref!E$38)&gt;0,0,IF(AA338=0, "0:00", SUM(AA338-ref!E$38))))</f>
        <v>0:00</v>
      </c>
      <c r="AC338" s="29"/>
      <c r="AD338" s="106"/>
      <c r="AE338" s="114">
        <f>Q341</f>
        <v>0.875</v>
      </c>
      <c r="AF338" s="77">
        <f t="shared" si="266"/>
        <v>0</v>
      </c>
      <c r="AG338" s="19"/>
      <c r="AH338" s="178" t="s">
        <v>74</v>
      </c>
      <c r="AI338" s="54" t="s">
        <v>68</v>
      </c>
      <c r="AJ338" s="177" t="s">
        <v>75</v>
      </c>
      <c r="AK338" s="55" t="str" cm="1">
        <f t="array" ref="AK338">IF(ISNUMBER(G339),G339-_xlfn.AGGREGATE(14,6,(K$4:K338&lt;G339)*K$4:K338,1),"")</f>
        <v/>
      </c>
      <c r="AL338" s="20" t="str">
        <f>IF(ISNUMBER(AK338),ABS(IF(SUM(AK338-ref!E$9)&gt;0,0,SUM(AK338-ref!E$9))),"")</f>
        <v/>
      </c>
      <c r="AQ338"/>
    </row>
    <row r="339" spans="2:43" x14ac:dyDescent="0.25">
      <c r="B339" s="81">
        <v>8</v>
      </c>
      <c r="C339" s="86" t="s">
        <v>90</v>
      </c>
      <c r="D339" s="86"/>
      <c r="E339" s="154">
        <f t="shared" si="267"/>
        <v>44065</v>
      </c>
      <c r="F339" s="164" t="s">
        <v>20</v>
      </c>
      <c r="G339" s="155" t="str">
        <f t="shared" si="263"/>
        <v/>
      </c>
      <c r="H339" s="29"/>
      <c r="I339" s="23">
        <f t="shared" si="268"/>
        <v>0</v>
      </c>
      <c r="J339" s="29"/>
      <c r="K339" s="46" t="str">
        <f t="shared" si="264"/>
        <v/>
      </c>
      <c r="L339" s="21">
        <f>IF(OR(F339="télétravail",F339="férié travaillé",F339="travail"),(J339-H339+IF(H339&gt;J339,1)-I339),INDEX(ref!$E$22:'ref'!$E$37,MATCH(F339,gerald3,0)))</f>
        <v>0</v>
      </c>
      <c r="M339" s="13">
        <f>IF(SUM(L339-ref!E$8)&lt;0,0,SUM(L339-ref!E$8))</f>
        <v>0</v>
      </c>
      <c r="N339" s="252">
        <f>L339-(hs!D338+hs!F338+hs!H338+hs!J338)</f>
        <v>0</v>
      </c>
      <c r="O339" s="8">
        <f>IF(OR(F339="férié travaillé",F339="travail",F339="asa",F339="rtt"),J339-H339+IF(H339&gt;J339,1),INDEX(ref!$E$22:'ref'!$E$37,MATCH(F339,gerald2,0)))</f>
        <v>0</v>
      </c>
      <c r="P339" s="14">
        <f>IF(SUM(O339-ref!E$4)&lt;0,0,SUM(O339-ref!E$4))</f>
        <v>0</v>
      </c>
      <c r="Q339" s="24">
        <f t="shared" si="269"/>
        <v>0.875</v>
      </c>
      <c r="S339" s="137"/>
      <c r="T339" s="92"/>
      <c r="U339" s="129"/>
      <c r="V339" s="142">
        <f t="shared" si="265"/>
        <v>0</v>
      </c>
      <c r="W339" s="141" t="str">
        <f>IF(V339="","",IF(SUM(V339-ref!E$38)&gt;0,0,IF(V339=0, "0:00", SUM(V339-ref!E$38))))</f>
        <v>0:00</v>
      </c>
      <c r="X339" s="137"/>
      <c r="Y339" s="92"/>
      <c r="Z339" s="247"/>
      <c r="AA339" s="142">
        <f t="shared" si="270"/>
        <v>0</v>
      </c>
      <c r="AB339" s="245" t="str">
        <f>IF(AA339="","",IF(SUM(AA339-ref!E$38)&gt;0,0,IF(AA339=0, "0:00", SUM(AA339-ref!E$38))))</f>
        <v>0:00</v>
      </c>
      <c r="AC339" s="29"/>
      <c r="AD339" s="106"/>
      <c r="AE339" s="117" t="s">
        <v>47</v>
      </c>
      <c r="AF339" s="77">
        <f t="shared" si="266"/>
        <v>0</v>
      </c>
      <c r="AG339" s="19"/>
      <c r="AH339" s="178" t="s">
        <v>75</v>
      </c>
      <c r="AI339" s="54" t="s">
        <v>68</v>
      </c>
      <c r="AJ339" s="177" t="s">
        <v>76</v>
      </c>
      <c r="AK339" s="55" t="str" cm="1">
        <f t="array" ref="AK339">IF(ISNUMBER(G340),G340-_xlfn.AGGREGATE(14,6,(K$4:K339&lt;G340)*K$4:K339,1),"")</f>
        <v/>
      </c>
      <c r="AL339" s="20" t="str">
        <f>IF(ISNUMBER(AK339),ABS(IF(SUM(AK339-ref!E$9)&gt;0,0,SUM(AK339-ref!E$9))),"")</f>
        <v/>
      </c>
      <c r="AQ339"/>
    </row>
    <row r="340" spans="2:43" ht="15.75" thickBot="1" x14ac:dyDescent="0.3">
      <c r="B340"/>
      <c r="C340"/>
      <c r="D340"/>
      <c r="E340" s="154">
        <f t="shared" si="267"/>
        <v>44066</v>
      </c>
      <c r="F340" s="164" t="s">
        <v>19</v>
      </c>
      <c r="G340" s="155" t="str">
        <f t="shared" si="263"/>
        <v/>
      </c>
      <c r="H340" s="29"/>
      <c r="I340" s="23">
        <f t="shared" si="268"/>
        <v>0</v>
      </c>
      <c r="J340" s="29"/>
      <c r="K340" s="46" t="str">
        <f t="shared" si="264"/>
        <v/>
      </c>
      <c r="L340" s="21">
        <f>IF(OR(F340="télétravail",F340="férié travaillé",F340="travail"),(J340-H340+IF(H340&gt;J340,1)-I340),INDEX(ref!$E$22:'ref'!$E$37,MATCH(F340,gerald3,0)))</f>
        <v>0</v>
      </c>
      <c r="M340" s="13">
        <f>IF(SUM(L340-ref!E$8)&lt;0,0,SUM(L340-ref!E$8))</f>
        <v>0</v>
      </c>
      <c r="N340" s="252">
        <f>L340-(hs!D339+hs!F339+hs!H339+hs!J339)</f>
        <v>0</v>
      </c>
      <c r="O340" s="8">
        <f>IF(OR(F340="férié travaillé",F340="travail",F340="asa",F340="rtt"),J340-H340+IF(H340&gt;J340,1),INDEX(ref!$E$22:'ref'!$E$37,MATCH(F340,gerald2,0)))</f>
        <v>0</v>
      </c>
      <c r="P340" s="14">
        <f>IF(SUM(O340-ref!E$4)&lt;0,0,SUM(O340-ref!E$4))</f>
        <v>0</v>
      </c>
      <c r="Q340" s="97">
        <f t="shared" si="269"/>
        <v>0.875</v>
      </c>
      <c r="S340" s="137"/>
      <c r="T340" s="92"/>
      <c r="U340" s="129"/>
      <c r="V340" s="142">
        <f t="shared" si="265"/>
        <v>0</v>
      </c>
      <c r="W340" s="141" t="str">
        <f>IF(V340="","",IF(SUM(V340-ref!E$38)&gt;0,0,IF(V340=0, "0:00", SUM(V340-ref!E$38))))</f>
        <v>0:00</v>
      </c>
      <c r="X340" s="137"/>
      <c r="Y340" s="92"/>
      <c r="Z340" s="247"/>
      <c r="AA340" s="142">
        <f t="shared" si="270"/>
        <v>0</v>
      </c>
      <c r="AB340" s="246" t="str">
        <f>IF(AA340="","",IF(SUM(AA340-ref!E$38)&gt;0,0,IF(AA340=0, "0:00", SUM(AA340-ref!E$38))))</f>
        <v>0:00</v>
      </c>
      <c r="AC340" s="29"/>
      <c r="AD340" s="106"/>
      <c r="AE340" s="118">
        <f>ref!E$11</f>
        <v>2</v>
      </c>
      <c r="AF340" s="77">
        <f t="shared" si="266"/>
        <v>0</v>
      </c>
      <c r="AG340" s="19"/>
      <c r="AH340" s="178" t="s">
        <v>76</v>
      </c>
      <c r="AI340" s="54" t="s">
        <v>68</v>
      </c>
      <c r="AJ340" s="177" t="s">
        <v>77</v>
      </c>
      <c r="AK340" s="55" t="str" cm="1">
        <f t="array" ref="AK340">IF(ISNUMBER(G341),G341-_xlfn.AGGREGATE(14,6,(K$4:K340&lt;G341)*K$4:K340,1),"")</f>
        <v/>
      </c>
      <c r="AL340" s="20" t="str">
        <f>IF(ISNUMBER(AK340),ABS(IF(SUM(AK340-ref!E$9)&gt;0,0,SUM(AK340-ref!E$9))),"")</f>
        <v/>
      </c>
      <c r="AQ340"/>
    </row>
    <row r="341" spans="2:43" ht="15.75" thickBot="1" x14ac:dyDescent="0.3">
      <c r="B341"/>
      <c r="C341"/>
      <c r="D341"/>
      <c r="E341" s="154">
        <f t="shared" si="267"/>
        <v>44067</v>
      </c>
      <c r="F341" s="165" t="s">
        <v>19</v>
      </c>
      <c r="G341" s="155" t="str">
        <f t="shared" si="263"/>
        <v/>
      </c>
      <c r="H341" s="29"/>
      <c r="I341" s="23">
        <f t="shared" si="268"/>
        <v>0</v>
      </c>
      <c r="J341" s="29"/>
      <c r="K341" s="46" t="str">
        <f t="shared" si="264"/>
        <v/>
      </c>
      <c r="L341" s="21">
        <f>IF(OR(F341="télétravail",F341="férié travaillé",F341="travail"),(J341-H341+IF(H341&gt;J341,1)-I341),INDEX(ref!$E$22:'ref'!$E$37,MATCH(F341,gerald3,0)))</f>
        <v>0</v>
      </c>
      <c r="M341" s="13">
        <f>IF(SUM(L341-ref!E$8)&lt;0,0,SUM(L341-ref!E$8))</f>
        <v>0</v>
      </c>
      <c r="N341" s="252">
        <f>L341-(hs!D340+hs!F340+hs!H340+hs!J340)</f>
        <v>0</v>
      </c>
      <c r="O341" s="8">
        <f>IF(OR(F341="férié travaillé",F341="travail",F341="asa",F341="rtt"),J341-H341+IF(H341&gt;J341,1),INDEX(ref!$E$22:'ref'!$E$37,MATCH(F341,gerald2,0)))</f>
        <v>0</v>
      </c>
      <c r="P341" s="14">
        <f>IF(SUM(O341-ref!E$4)&lt;0,0,SUM(O341-ref!E$4))</f>
        <v>0</v>
      </c>
      <c r="Q341" s="94">
        <f t="shared" si="269"/>
        <v>0.875</v>
      </c>
      <c r="S341" s="138"/>
      <c r="T341" s="92"/>
      <c r="U341" s="129"/>
      <c r="V341" s="142">
        <f t="shared" si="265"/>
        <v>0</v>
      </c>
      <c r="W341" s="141" t="str">
        <f>IF(V341="","",IF(SUM(V341-ref!E$38)&gt;0,0,IF(V341=0, "0:00", SUM(V341-ref!E$38))))</f>
        <v>0:00</v>
      </c>
      <c r="X341" s="138"/>
      <c r="Y341" s="92"/>
      <c r="Z341" s="247"/>
      <c r="AA341" s="142">
        <f t="shared" si="270"/>
        <v>0</v>
      </c>
      <c r="AB341" s="248" t="str">
        <f>IF(AA341="","",IF(SUM(AA341-ref!E$38)&gt;0,0,IF(AA341=0, "0:00", SUM(AA341-ref!E$38))))</f>
        <v>0:00</v>
      </c>
      <c r="AC341" s="29"/>
      <c r="AD341" s="106"/>
      <c r="AE341" s="110">
        <f>IF(SUM(Q341-ref!E$11)&lt;0,0,SUM(Q341-ref!E$11))</f>
        <v>0</v>
      </c>
      <c r="AF341" s="77">
        <f t="shared" si="266"/>
        <v>0</v>
      </c>
      <c r="AG341" s="19"/>
      <c r="AQ341"/>
    </row>
    <row r="342" spans="2:43" x14ac:dyDescent="0.25">
      <c r="W342" s="74"/>
      <c r="X342" s="2"/>
      <c r="Z342"/>
      <c r="AA342" s="2"/>
      <c r="AB342" s="2"/>
      <c r="AC342" s="127"/>
      <c r="AQ342"/>
    </row>
    <row r="343" spans="2:43" x14ac:dyDescent="0.25">
      <c r="X343" s="2"/>
      <c r="Z343"/>
      <c r="AA343" s="2"/>
      <c r="AB343" s="2"/>
      <c r="AC343" s="127"/>
      <c r="AQ343"/>
    </row>
    <row r="344" spans="2:43" ht="15.75" thickBot="1" x14ac:dyDescent="0.3">
      <c r="W344" s="74"/>
      <c r="X344" s="2"/>
      <c r="Z344"/>
      <c r="AA344" s="2"/>
      <c r="AB344" s="2"/>
      <c r="AC344" s="127"/>
      <c r="AQ344"/>
    </row>
    <row r="345" spans="2:43" x14ac:dyDescent="0.25">
      <c r="B345" s="78" t="s">
        <v>1</v>
      </c>
      <c r="C345" s="85" t="s">
        <v>90</v>
      </c>
      <c r="D345" s="85"/>
      <c r="E345" s="154">
        <f>DATE(ref!E$2,B349,B347)</f>
        <v>44068</v>
      </c>
      <c r="F345" s="163" t="s">
        <v>21</v>
      </c>
      <c r="G345" s="155" t="str">
        <f t="shared" ref="G345:G351" si="271">IF(AND(J345="",H345=""),"",E345+H345)</f>
        <v/>
      </c>
      <c r="H345" s="29"/>
      <c r="I345" s="23">
        <f>SUM(V345+AA345+AC345)</f>
        <v>0</v>
      </c>
      <c r="J345" s="29"/>
      <c r="K345" s="46" t="str">
        <f t="shared" ref="K345:K351" si="272">IF(AND(H345="",J345=""),"",E345+J345+(H345&gt;J345))</f>
        <v/>
      </c>
      <c r="L345" s="21">
        <f>IF(OR(F345="télétravail",F345="férié travaillé",F345="travail"),(J345-H345+IF(H345&gt;J345,1)-I345),INDEX(ref!$E$22:'ref'!$E$37,MATCH(F345,gerald3,0)))</f>
        <v>0.29166666666666669</v>
      </c>
      <c r="M345" s="13">
        <f>IF(SUM(L345-ref!E$8)&lt;0,0,SUM(L345-ref!E$8))</f>
        <v>0</v>
      </c>
      <c r="N345" s="252">
        <f>L345-(hs!D344+hs!F344+hs!H344+hs!J344)</f>
        <v>0.29166666666666669</v>
      </c>
      <c r="O345" s="8">
        <f>IF(OR(F345="férié travaillé",F345="travail",F345="asa",F345="rtt"),J345-H345+IF(H345&gt;J345,1),INDEX(ref!$E$22:'ref'!$E$37,MATCH(F345,gerald2,0)))</f>
        <v>0.29166666666666669</v>
      </c>
      <c r="P345" s="14">
        <f>IF(SUM(O345-ref!E$4)&lt;0,0,SUM(O345-ref!E$4))</f>
        <v>0</v>
      </c>
      <c r="Q345" s="21">
        <f>L345</f>
        <v>0.29166666666666669</v>
      </c>
      <c r="S345" s="136"/>
      <c r="T345" s="92"/>
      <c r="U345" s="129"/>
      <c r="V345" s="142">
        <f t="shared" ref="V345:V351" si="273">U345-T345</f>
        <v>0</v>
      </c>
      <c r="W345" s="141" t="str">
        <f>IF(V345="","",IF(SUM(V345-ref!E$38)&gt;0,0,IF(V345=0, "0:00", SUM(V345-ref!E$38))))</f>
        <v>0:00</v>
      </c>
      <c r="X345" s="136"/>
      <c r="Y345" s="92"/>
      <c r="Z345" s="247"/>
      <c r="AA345" s="142">
        <f>Z345-Y345</f>
        <v>0</v>
      </c>
      <c r="AB345" s="244" t="str">
        <f>IF(AA345="","",IF(SUM(AA345-ref!E$38)&gt;0,0,IF(AA345=0, "0:00", SUM(AA345-ref!E$38))))</f>
        <v>0:00</v>
      </c>
      <c r="AC345" s="29"/>
      <c r="AD345" s="106"/>
      <c r="AE345" s="111">
        <f>SUM(AF345:AF351)</f>
        <v>5</v>
      </c>
      <c r="AF345" s="77">
        <f>IF(AND(H345&lt;&gt;"",J345&lt;&gt;""),1,0+OR(N(J343)&lt;N(H343),F345="récupération",F345="congé 1 jour",F345="congé 1/2 jour ",F345="congé 5h24",F345="arrêt maladie",F345="arrêt travail",F345="férié ",F345="congé parentale",F345="congé de naissance"))</f>
        <v>1</v>
      </c>
      <c r="AG345" s="19"/>
      <c r="AH345" s="176" t="s">
        <v>71</v>
      </c>
      <c r="AI345" s="54" t="s">
        <v>68</v>
      </c>
      <c r="AJ345" s="177" t="s">
        <v>72</v>
      </c>
      <c r="AK345" s="55" t="str" cm="1">
        <f t="array" ref="AK345">IF(ISNUMBER(G346),G346-_xlfn.AGGREGATE(14,6,(K$4:K345&lt;G346)*K$4:K345,1),"")</f>
        <v/>
      </c>
      <c r="AL345" s="20" t="str">
        <f>IF(ISNUMBER(AK345),ABS(IF(SUM(AK345-ref!E$9)&gt;0,0,SUM(AK345-ref!E$9))),"")</f>
        <v/>
      </c>
      <c r="AQ345"/>
    </row>
    <row r="346" spans="2:43" x14ac:dyDescent="0.25">
      <c r="B346" s="79" t="s">
        <v>1</v>
      </c>
      <c r="C346" s="85" t="s">
        <v>90</v>
      </c>
      <c r="D346" s="85"/>
      <c r="E346" s="154">
        <f t="shared" ref="E346:E351" si="274">E345+1</f>
        <v>44069</v>
      </c>
      <c r="F346" s="164" t="s">
        <v>21</v>
      </c>
      <c r="G346" s="155" t="str">
        <f t="shared" si="271"/>
        <v/>
      </c>
      <c r="H346" s="29"/>
      <c r="I346" s="23">
        <f t="shared" ref="I346:I351" si="275">SUM(V346+AA346+AC346)</f>
        <v>0</v>
      </c>
      <c r="J346" s="29"/>
      <c r="K346" s="46" t="str">
        <f t="shared" si="272"/>
        <v/>
      </c>
      <c r="L346" s="21">
        <f>IF(OR(F346="télétravail",F346="férié travaillé",F346="travail"),(J346-H346+IF(H346&gt;J346,1)-I346),INDEX(ref!$E$22:'ref'!$E$37,MATCH(F346,gerald3,0)))</f>
        <v>0.29166666666666669</v>
      </c>
      <c r="M346" s="13">
        <f>IF(SUM(L346-ref!E$8)&lt;0,0,SUM(L346-ref!E$8))</f>
        <v>0</v>
      </c>
      <c r="N346" s="252">
        <f>L346-(hs!D345+hs!F345+hs!H345+hs!J345)</f>
        <v>0.29166666666666669</v>
      </c>
      <c r="O346" s="8">
        <f>IF(OR(F346="férié travaillé",F346="travail",F346="asa",F346="rtt"),J346-H346+IF(H346&gt;J346,1),INDEX(ref!$E$22:'ref'!$E$37,MATCH(F346,gerald2,0)))</f>
        <v>0.29166666666666669</v>
      </c>
      <c r="P346" s="14">
        <f>IF(SUM(O346-ref!E$4)&lt;0,0,SUM(O346-ref!E$4))</f>
        <v>0</v>
      </c>
      <c r="Q346" s="24">
        <f t="shared" ref="Q346:Q351" si="276">Q345+L346</f>
        <v>0.58333333333333337</v>
      </c>
      <c r="S346" s="137"/>
      <c r="T346" s="92"/>
      <c r="U346" s="129"/>
      <c r="V346" s="142">
        <f t="shared" si="273"/>
        <v>0</v>
      </c>
      <c r="W346" s="141" t="str">
        <f>IF(V346="","",IF(SUM(V346-ref!E$38)&gt;0,0,IF(V346=0, "0:00", SUM(V346-ref!E$38))))</f>
        <v>0:00</v>
      </c>
      <c r="X346" s="137"/>
      <c r="Y346" s="92"/>
      <c r="Z346" s="247"/>
      <c r="AA346" s="142">
        <f t="shared" ref="AA346:AA351" si="277">Z346-Y346</f>
        <v>0</v>
      </c>
      <c r="AB346" s="245" t="str">
        <f>IF(AA346="","",IF(SUM(AA346-ref!E$38)&gt;0,0,IF(AA346=0, "0:00", SUM(AA346-ref!E$38))))</f>
        <v>0:00</v>
      </c>
      <c r="AC346" s="29"/>
      <c r="AD346" s="106"/>
      <c r="AE346" s="112">
        <f>IF(SUM(AE345-ref!E$7)&lt;0,0,SUM(AE345-ref!E$7))</f>
        <v>0</v>
      </c>
      <c r="AF346" s="77">
        <f t="shared" ref="AF346:AF351" si="278">IF(AND(H346&lt;&gt;"",J346&lt;&gt;""),1,0+OR(N(J345)&lt;N(H345),F346="récupération",F346="congé 1 jour",F346="congé 1/2 jour ",F346="congé 5h24",F346="arrêt maladie",F346="arrêt travail",F346="férié ",F346="congé parentale",F346="congé de naissance"))</f>
        <v>1</v>
      </c>
      <c r="AG346" s="19"/>
      <c r="AH346" s="178" t="s">
        <v>72</v>
      </c>
      <c r="AI346" s="54" t="s">
        <v>68</v>
      </c>
      <c r="AJ346" s="177" t="s">
        <v>73</v>
      </c>
      <c r="AK346" s="55" cm="1">
        <f t="array" ref="AK346">IF(ISNUMBER(G347),G347-_xlfn.AGGREGATE(14,6,(K$4:K346&lt;G347)*K$4:K346,1),"")</f>
        <v>39.416666666664241</v>
      </c>
      <c r="AL346" s="20">
        <f>IF(ISNUMBER(AK346),ABS(IF(SUM(AK346-ref!E$9)&gt;0,0,SUM(AK346-ref!E$9))),"")</f>
        <v>0</v>
      </c>
      <c r="AQ346"/>
    </row>
    <row r="347" spans="2:43" x14ac:dyDescent="0.25">
      <c r="B347" s="80">
        <v>26</v>
      </c>
      <c r="C347" s="85" t="s">
        <v>90</v>
      </c>
      <c r="D347" s="85"/>
      <c r="E347" s="154">
        <f t="shared" si="274"/>
        <v>44070</v>
      </c>
      <c r="F347" s="164" t="s">
        <v>20</v>
      </c>
      <c r="G347" s="155">
        <f t="shared" si="271"/>
        <v>44070.375</v>
      </c>
      <c r="H347" s="29">
        <v>0.375</v>
      </c>
      <c r="I347" s="23">
        <f t="shared" si="275"/>
        <v>4.166666666666663E-2</v>
      </c>
      <c r="J347" s="29">
        <v>0.70833333333333337</v>
      </c>
      <c r="K347" s="46">
        <f t="shared" si="272"/>
        <v>44070.708333333336</v>
      </c>
      <c r="L347" s="21">
        <f>IF(OR(F347="télétravail",F347="férié travaillé",F347="travail"),(J347-H347+IF(H347&gt;J347,1)-I347),INDEX(ref!$E$22:'ref'!$E$37,MATCH(F347,gerald3,0)))</f>
        <v>0.29166666666666674</v>
      </c>
      <c r="M347" s="13">
        <f>IF(SUM(L347-ref!E$8)&lt;0,0,SUM(L347-ref!E$8))</f>
        <v>0</v>
      </c>
      <c r="N347" s="252">
        <f>L347-(hs!D346+hs!F346+hs!H346+hs!J346)</f>
        <v>-4.166666666666663E-2</v>
      </c>
      <c r="O347" s="8">
        <f>IF(OR(F347="férié travaillé",F347="travail",F347="asa",F347="rtt"),J347-H347+IF(H347&gt;J347,1),INDEX(ref!$E$22:'ref'!$E$37,MATCH(F347,gerald2,0)))</f>
        <v>0.33333333333333337</v>
      </c>
      <c r="P347" s="14">
        <f>IF(SUM(O347-ref!E$4)&lt;0,0,SUM(O347-ref!E$4))</f>
        <v>0</v>
      </c>
      <c r="Q347" s="24">
        <f t="shared" si="276"/>
        <v>0.87500000000000011</v>
      </c>
      <c r="S347" s="137"/>
      <c r="T347" s="92">
        <v>0.52083333333333337</v>
      </c>
      <c r="U347" s="129">
        <v>0.5625</v>
      </c>
      <c r="V347" s="142">
        <f t="shared" si="273"/>
        <v>4.166666666666663E-2</v>
      </c>
      <c r="W347" s="141">
        <f>IF(V347="","",IF(SUM(V347-ref!E$38)&gt;0,0,IF(V347=0, "0:00", SUM(V347-ref!E$38))))</f>
        <v>0</v>
      </c>
      <c r="X347" s="137"/>
      <c r="Y347" s="92"/>
      <c r="Z347" s="247"/>
      <c r="AA347" s="142">
        <f t="shared" si="277"/>
        <v>0</v>
      </c>
      <c r="AB347" s="245" t="str">
        <f>IF(AA347="","",IF(SUM(AA347-ref!E$38)&gt;0,0,IF(AA347=0, "0:00", SUM(AA347-ref!E$38))))</f>
        <v>0:00</v>
      </c>
      <c r="AC347" s="29"/>
      <c r="AD347" s="106"/>
      <c r="AE347" s="113" t="s">
        <v>29</v>
      </c>
      <c r="AF347" s="77">
        <f t="shared" si="278"/>
        <v>1</v>
      </c>
      <c r="AG347" s="19"/>
      <c r="AH347" s="178" t="s">
        <v>73</v>
      </c>
      <c r="AI347" s="54" t="s">
        <v>68</v>
      </c>
      <c r="AJ347" s="177" t="s">
        <v>74</v>
      </c>
      <c r="AK347" s="55" cm="1">
        <f t="array" ref="AK347">IF(ISNUMBER(G348),G348-_xlfn.AGGREGATE(14,6,(K$4:K347&lt;G348)*K$4:K347,1),"")</f>
        <v>0.66666666666424135</v>
      </c>
      <c r="AL347" s="20">
        <f>IF(ISNUMBER(AK347),ABS(IF(SUM(AK347-ref!E$9)&gt;0,0,SUM(AK347-ref!E$9))),"")</f>
        <v>0</v>
      </c>
      <c r="AQ347"/>
    </row>
    <row r="348" spans="2:43" x14ac:dyDescent="0.25">
      <c r="B348" s="79" t="s">
        <v>58</v>
      </c>
      <c r="C348" s="85" t="s">
        <v>90</v>
      </c>
      <c r="D348" s="85"/>
      <c r="E348" s="154">
        <f t="shared" si="274"/>
        <v>44071</v>
      </c>
      <c r="F348" s="164" t="s">
        <v>20</v>
      </c>
      <c r="G348" s="155">
        <f t="shared" si="271"/>
        <v>44071.375</v>
      </c>
      <c r="H348" s="29">
        <v>0.375</v>
      </c>
      <c r="I348" s="23">
        <f t="shared" si="275"/>
        <v>4.166666666666663E-2</v>
      </c>
      <c r="J348" s="29">
        <v>0.70833333333333337</v>
      </c>
      <c r="K348" s="46">
        <f t="shared" si="272"/>
        <v>44071.708333333336</v>
      </c>
      <c r="L348" s="21">
        <f>IF(OR(F348="télétravail",F348="férié travaillé",F348="travail"),(J348-H348+IF(H348&gt;J348,1)-I348),INDEX(ref!$E$22:'ref'!$E$37,MATCH(F348,gerald3,0)))</f>
        <v>0.29166666666666674</v>
      </c>
      <c r="M348" s="13">
        <f>IF(SUM(L348-ref!E$8)&lt;0,0,SUM(L348-ref!E$8))</f>
        <v>0</v>
      </c>
      <c r="N348" s="252">
        <f>L348-(hs!D347+hs!F347+hs!H347+hs!J347)</f>
        <v>-4.166666666666663E-2</v>
      </c>
      <c r="O348" s="8">
        <f>IF(OR(F348="férié travaillé",F348="travail",F348="asa",F348="rtt"),J348-H348+IF(H348&gt;J348,1),INDEX(ref!$E$22:'ref'!$E$37,MATCH(F348,gerald2,0)))</f>
        <v>0.33333333333333337</v>
      </c>
      <c r="P348" s="14">
        <f>IF(SUM(O348-ref!E$4)&lt;0,0,SUM(O348-ref!E$4))</f>
        <v>0</v>
      </c>
      <c r="Q348" s="93">
        <f t="shared" si="276"/>
        <v>1.166666666666667</v>
      </c>
      <c r="S348" s="137"/>
      <c r="T348" s="92">
        <v>0.52083333333333337</v>
      </c>
      <c r="U348" s="129">
        <v>0.5625</v>
      </c>
      <c r="V348" s="142">
        <f t="shared" si="273"/>
        <v>4.166666666666663E-2</v>
      </c>
      <c r="W348" s="141">
        <f>IF(V348="","",IF(SUM(V348-ref!E$38)&gt;0,0,IF(V348=0, "0:00", SUM(V348-ref!E$38))))</f>
        <v>0</v>
      </c>
      <c r="X348" s="137"/>
      <c r="Y348" s="92"/>
      <c r="Z348" s="247"/>
      <c r="AA348" s="142">
        <f t="shared" si="277"/>
        <v>0</v>
      </c>
      <c r="AB348" s="245" t="str">
        <f>IF(AA348="","",IF(SUM(AA348-ref!E$38)&gt;0,0,IF(AA348=0, "0:00", SUM(AA348-ref!E$38))))</f>
        <v>0:00</v>
      </c>
      <c r="AC348" s="29"/>
      <c r="AD348" s="106"/>
      <c r="AE348" s="114">
        <f>Q351</f>
        <v>1.4583333333333337</v>
      </c>
      <c r="AF348" s="77">
        <f t="shared" si="278"/>
        <v>1</v>
      </c>
      <c r="AG348" s="19"/>
      <c r="AH348" s="178" t="s">
        <v>74</v>
      </c>
      <c r="AI348" s="54" t="s">
        <v>68</v>
      </c>
      <c r="AJ348" s="177" t="s">
        <v>75</v>
      </c>
      <c r="AK348" s="55" cm="1">
        <f t="array" ref="AK348">IF(ISNUMBER(G349),G349-_xlfn.AGGREGATE(14,6,(K$4:K348&lt;G349)*K$4:K348,1),"")</f>
        <v>0.66666666666424135</v>
      </c>
      <c r="AL348" s="20">
        <f>IF(ISNUMBER(AK348),ABS(IF(SUM(AK348-ref!E$9)&gt;0,0,SUM(AK348-ref!E$9))),"")</f>
        <v>0</v>
      </c>
      <c r="AQ348"/>
    </row>
    <row r="349" spans="2:43" x14ac:dyDescent="0.25">
      <c r="B349" s="81">
        <v>8</v>
      </c>
      <c r="C349" s="86" t="s">
        <v>90</v>
      </c>
      <c r="D349" s="86"/>
      <c r="E349" s="154">
        <f t="shared" si="274"/>
        <v>44072</v>
      </c>
      <c r="F349" s="164" t="s">
        <v>20</v>
      </c>
      <c r="G349" s="155">
        <f t="shared" si="271"/>
        <v>44072.375</v>
      </c>
      <c r="H349" s="29">
        <v>0.375</v>
      </c>
      <c r="I349" s="23">
        <f t="shared" si="275"/>
        <v>4.166666666666663E-2</v>
      </c>
      <c r="J349" s="29">
        <v>0.70833333333333337</v>
      </c>
      <c r="K349" s="46">
        <f t="shared" si="272"/>
        <v>44072.708333333336</v>
      </c>
      <c r="L349" s="21">
        <f>IF(OR(F349="télétravail",F349="férié travaillé",F349="travail"),(J349-H349+IF(H349&gt;J349,1)-I349),INDEX(ref!$E$22:'ref'!$E$37,MATCH(F349,gerald3,0)))</f>
        <v>0.29166666666666674</v>
      </c>
      <c r="M349" s="13">
        <f>IF(SUM(L349-ref!E$8)&lt;0,0,SUM(L349-ref!E$8))</f>
        <v>0</v>
      </c>
      <c r="N349" s="252">
        <f>L349-(hs!D348+hs!F348+hs!H348+hs!J348)</f>
        <v>-4.166666666666663E-2</v>
      </c>
      <c r="O349" s="8">
        <f>IF(OR(F349="férié travaillé",F349="travail",F349="asa",F349="rtt"),J349-H349+IF(H349&gt;J349,1),INDEX(ref!$E$22:'ref'!$E$37,MATCH(F349,gerald2,0)))</f>
        <v>0.33333333333333337</v>
      </c>
      <c r="P349" s="14">
        <f>IF(SUM(O349-ref!E$4)&lt;0,0,SUM(O349-ref!E$4))</f>
        <v>0</v>
      </c>
      <c r="Q349" s="24">
        <f t="shared" si="276"/>
        <v>1.4583333333333337</v>
      </c>
      <c r="S349" s="137"/>
      <c r="T349" s="92">
        <v>0.52083333333333337</v>
      </c>
      <c r="U349" s="129">
        <v>0.5625</v>
      </c>
      <c r="V349" s="142">
        <f t="shared" si="273"/>
        <v>4.166666666666663E-2</v>
      </c>
      <c r="W349" s="141">
        <f>IF(V349="","",IF(SUM(V349-ref!E$38)&gt;0,0,IF(V349=0, "0:00", SUM(V349-ref!E$38))))</f>
        <v>0</v>
      </c>
      <c r="X349" s="137"/>
      <c r="Y349" s="92"/>
      <c r="Z349" s="247"/>
      <c r="AA349" s="142">
        <f t="shared" si="277"/>
        <v>0</v>
      </c>
      <c r="AB349" s="245" t="str">
        <f>IF(AA349="","",IF(SUM(AA349-ref!E$38)&gt;0,0,IF(AA349=0, "0:00", SUM(AA349-ref!E$38))))</f>
        <v>0:00</v>
      </c>
      <c r="AC349" s="29"/>
      <c r="AD349" s="106"/>
      <c r="AE349" s="117" t="s">
        <v>47</v>
      </c>
      <c r="AF349" s="77">
        <f t="shared" si="278"/>
        <v>1</v>
      </c>
      <c r="AG349" s="19"/>
      <c r="AH349" s="178" t="s">
        <v>75</v>
      </c>
      <c r="AI349" s="54" t="s">
        <v>68</v>
      </c>
      <c r="AJ349" s="177" t="s">
        <v>76</v>
      </c>
      <c r="AK349" s="55" t="str" cm="1">
        <f t="array" ref="AK349">IF(ISNUMBER(G350),G350-_xlfn.AGGREGATE(14,6,(K$4:K349&lt;G350)*K$4:K349,1),"")</f>
        <v/>
      </c>
      <c r="AL349" s="20" t="str">
        <f>IF(ISNUMBER(AK349),ABS(IF(SUM(AK349-ref!E$9)&gt;0,0,SUM(AK349-ref!E$9))),"")</f>
        <v/>
      </c>
      <c r="AQ349"/>
    </row>
    <row r="350" spans="2:43" ht="15.75" thickBot="1" x14ac:dyDescent="0.3">
      <c r="B350"/>
      <c r="C350"/>
      <c r="D350"/>
      <c r="E350" s="154">
        <f t="shared" si="274"/>
        <v>44073</v>
      </c>
      <c r="F350" s="164" t="s">
        <v>19</v>
      </c>
      <c r="G350" s="155" t="str">
        <f t="shared" si="271"/>
        <v/>
      </c>
      <c r="H350" s="29"/>
      <c r="I350" s="23">
        <f t="shared" si="275"/>
        <v>0</v>
      </c>
      <c r="J350" s="29"/>
      <c r="K350" s="46" t="str">
        <f t="shared" si="272"/>
        <v/>
      </c>
      <c r="L350" s="21">
        <f>IF(OR(F350="télétravail",F350="férié travaillé",F350="travail"),(J350-H350+IF(H350&gt;J350,1)-I350),INDEX(ref!$E$22:'ref'!$E$37,MATCH(F350,gerald3,0)))</f>
        <v>0</v>
      </c>
      <c r="M350" s="13">
        <f>IF(SUM(L350-ref!E$8)&lt;0,0,SUM(L350-ref!E$8))</f>
        <v>0</v>
      </c>
      <c r="N350" s="252">
        <f>L350-(hs!D349+hs!F349+hs!H349+hs!J349)</f>
        <v>0</v>
      </c>
      <c r="O350" s="8">
        <f>IF(OR(F350="férié travaillé",F350="travail",F350="asa",F350="rtt"),J350-H350+IF(H350&gt;J350,1),INDEX(ref!$E$22:'ref'!$E$37,MATCH(F350,gerald2,0)))</f>
        <v>0</v>
      </c>
      <c r="P350" s="14">
        <f>IF(SUM(O350-ref!E$4)&lt;0,0,SUM(O350-ref!E$4))</f>
        <v>0</v>
      </c>
      <c r="Q350" s="97">
        <f t="shared" si="276"/>
        <v>1.4583333333333337</v>
      </c>
      <c r="S350" s="137"/>
      <c r="T350" s="92"/>
      <c r="U350" s="129"/>
      <c r="V350" s="142">
        <f t="shared" si="273"/>
        <v>0</v>
      </c>
      <c r="W350" s="141" t="str">
        <f>IF(V350="","",IF(SUM(V350-ref!E$38)&gt;0,0,IF(V350=0, "0:00", SUM(V350-ref!E$38))))</f>
        <v>0:00</v>
      </c>
      <c r="X350" s="137"/>
      <c r="Y350" s="92"/>
      <c r="Z350" s="247"/>
      <c r="AA350" s="142">
        <f t="shared" si="277"/>
        <v>0</v>
      </c>
      <c r="AB350" s="245" t="str">
        <f>IF(AA350="","",IF(SUM(AA350-ref!E$38)&gt;0,0,IF(AA350=0, "0:00", SUM(AA350-ref!E$38))))</f>
        <v>0:00</v>
      </c>
      <c r="AC350" s="29"/>
      <c r="AD350" s="106"/>
      <c r="AE350" s="118">
        <f>ref!E$11</f>
        <v>2</v>
      </c>
      <c r="AF350" s="77">
        <f t="shared" si="278"/>
        <v>0</v>
      </c>
      <c r="AG350" s="19"/>
      <c r="AH350" s="178" t="s">
        <v>76</v>
      </c>
      <c r="AI350" s="54" t="s">
        <v>68</v>
      </c>
      <c r="AJ350" s="177" t="s">
        <v>77</v>
      </c>
      <c r="AK350" s="55" t="str" cm="1">
        <f t="array" ref="AK350">IF(ISNUMBER(G351),G351-_xlfn.AGGREGATE(14,6,(K$4:K350&lt;G351)*K$4:K350,1),"")</f>
        <v/>
      </c>
      <c r="AL350" s="20" t="str">
        <f>IF(ISNUMBER(AK350),ABS(IF(SUM(AK350-ref!E$9)&gt;0,0,SUM(AK350-ref!E$9))),"")</f>
        <v/>
      </c>
      <c r="AQ350"/>
    </row>
    <row r="351" spans="2:43" ht="15.75" thickBot="1" x14ac:dyDescent="0.3">
      <c r="B351"/>
      <c r="C351"/>
      <c r="D351"/>
      <c r="E351" s="154">
        <f t="shared" si="274"/>
        <v>44074</v>
      </c>
      <c r="F351" s="165" t="s">
        <v>19</v>
      </c>
      <c r="G351" s="155" t="str">
        <f t="shared" si="271"/>
        <v/>
      </c>
      <c r="H351" s="29"/>
      <c r="I351" s="23">
        <f t="shared" si="275"/>
        <v>0</v>
      </c>
      <c r="J351" s="29"/>
      <c r="K351" s="46" t="str">
        <f t="shared" si="272"/>
        <v/>
      </c>
      <c r="L351" s="21">
        <f>IF(OR(F351="télétravail",F351="férié travaillé",F351="travail"),(J351-H351+IF(H351&gt;J351,1)-I351),INDEX(ref!$E$22:'ref'!$E$37,MATCH(F351,gerald3,0)))</f>
        <v>0</v>
      </c>
      <c r="M351" s="13">
        <f>IF(SUM(L351-ref!E$8)&lt;0,0,SUM(L351-ref!E$8))</f>
        <v>0</v>
      </c>
      <c r="N351" s="252">
        <f>L351-(hs!D350+hs!F350+hs!H350+hs!J350)</f>
        <v>0</v>
      </c>
      <c r="O351" s="8">
        <f>IF(OR(F351="férié travaillé",F351="travail",F351="asa",F351="rtt"),J351-H351+IF(H351&gt;J351,1),INDEX(ref!$E$22:'ref'!$E$37,MATCH(F351,gerald2,0)))</f>
        <v>0</v>
      </c>
      <c r="P351" s="14">
        <f>IF(SUM(O351-ref!E$4)&lt;0,0,SUM(O351-ref!E$4))</f>
        <v>0</v>
      </c>
      <c r="Q351" s="94">
        <f t="shared" si="276"/>
        <v>1.4583333333333337</v>
      </c>
      <c r="S351" s="138"/>
      <c r="T351" s="92"/>
      <c r="U351" s="129"/>
      <c r="V351" s="142">
        <f t="shared" si="273"/>
        <v>0</v>
      </c>
      <c r="W351" s="141" t="str">
        <f>IF(V351="","",IF(SUM(V351-ref!E$38)&gt;0,0,IF(V351=0, "0:00", SUM(V351-ref!E$38))))</f>
        <v>0:00</v>
      </c>
      <c r="X351" s="138"/>
      <c r="Y351" s="92"/>
      <c r="Z351" s="247"/>
      <c r="AA351" s="142">
        <f t="shared" si="277"/>
        <v>0</v>
      </c>
      <c r="AB351" s="246" t="str">
        <f>IF(AA351="","",IF(SUM(AA351-ref!E$38)&gt;0,0,IF(AA351=0, "0:00", SUM(AA351-ref!E$38))))</f>
        <v>0:00</v>
      </c>
      <c r="AC351" s="29"/>
      <c r="AD351" s="106"/>
      <c r="AE351" s="110">
        <f>IF(SUM(Q351-ref!E$11)&lt;0,0,SUM(Q351-ref!E$11))</f>
        <v>0</v>
      </c>
      <c r="AF351" s="77">
        <f t="shared" si="278"/>
        <v>0</v>
      </c>
      <c r="AG351" s="19"/>
      <c r="AQ351"/>
    </row>
    <row r="352" spans="2:43" x14ac:dyDescent="0.25">
      <c r="W352" s="74"/>
      <c r="X352" s="2"/>
      <c r="Z352"/>
      <c r="AA352" s="2"/>
      <c r="AB352" s="2"/>
      <c r="AC352" s="127"/>
      <c r="AQ352"/>
    </row>
    <row r="353" spans="2:43" x14ac:dyDescent="0.25">
      <c r="X353" s="2"/>
      <c r="Z353"/>
      <c r="AA353" s="2"/>
      <c r="AB353" s="2"/>
      <c r="AC353" s="127"/>
      <c r="AQ353"/>
    </row>
    <row r="354" spans="2:43" ht="15.75" thickBot="1" x14ac:dyDescent="0.3">
      <c r="W354" s="74"/>
      <c r="X354" s="2"/>
      <c r="Z354"/>
      <c r="AA354" s="2"/>
      <c r="AB354" s="2"/>
      <c r="AC354" s="127"/>
      <c r="AQ354"/>
    </row>
    <row r="355" spans="2:43" x14ac:dyDescent="0.25">
      <c r="B355" s="78" t="s">
        <v>1</v>
      </c>
      <c r="C355" s="90" t="s">
        <v>20</v>
      </c>
      <c r="D355" s="88"/>
      <c r="E355" s="154">
        <f>DATE(ref!E$2,B359,B357)</f>
        <v>44075</v>
      </c>
      <c r="F355" s="163" t="s">
        <v>20</v>
      </c>
      <c r="G355" s="155">
        <f t="shared" ref="G355:G361" si="279">IF(AND(J355="",H355=""),"",E355+H355)</f>
        <v>44075.375</v>
      </c>
      <c r="H355" s="29">
        <v>0.375</v>
      </c>
      <c r="I355" s="23">
        <f>SUM(V355+AA355+AC355)</f>
        <v>4.166666666666663E-2</v>
      </c>
      <c r="J355" s="29">
        <v>0.70833333333333337</v>
      </c>
      <c r="K355" s="46">
        <f t="shared" ref="K355:K361" si="280">IF(AND(H355="",J355=""),"",E355+J355+(H355&gt;J355))</f>
        <v>44075.708333333336</v>
      </c>
      <c r="L355" s="21">
        <f>IF(OR(F355="télétravail",F355="férié travaillé",F355="travail"),(J355-H355+IF(H355&gt;J355,1)-I355),INDEX(ref!$E$22:'ref'!$E$37,MATCH(F355,gerald3,0)))</f>
        <v>0.29166666666666674</v>
      </c>
      <c r="M355" s="13">
        <f>IF(SUM(L355-ref!E$8)&lt;0,0,SUM(L355-ref!E$8))</f>
        <v>0</v>
      </c>
      <c r="N355" s="252">
        <f>L355-(hs!D354+hs!F354+hs!H354+hs!J354)</f>
        <v>-4.166666666666663E-2</v>
      </c>
      <c r="O355" s="8">
        <f>IF(OR(F355="férié travaillé",F355="travail",F355="asa",F355="rtt"),J355-H355+IF(H355&gt;J355,1),INDEX(ref!$E$22:'ref'!$E$37,MATCH(F355,gerald2,0)))</f>
        <v>0.33333333333333337</v>
      </c>
      <c r="P355" s="14">
        <f>IF(SUM(O355-ref!E$4)&lt;0,0,SUM(O355-ref!E$4))</f>
        <v>0</v>
      </c>
      <c r="Q355" s="21">
        <f>L355</f>
        <v>0.29166666666666674</v>
      </c>
      <c r="S355" s="136"/>
      <c r="T355" s="92">
        <v>0.52083333333333337</v>
      </c>
      <c r="U355" s="129">
        <v>0.5625</v>
      </c>
      <c r="V355" s="142">
        <f t="shared" ref="V355:V361" si="281">U355-T355</f>
        <v>4.166666666666663E-2</v>
      </c>
      <c r="W355" s="141">
        <f>IF(V355="","",IF(SUM(V355-ref!E$38)&gt;0,0,IF(V355=0, "0:00", SUM(V355-ref!E$38))))</f>
        <v>0</v>
      </c>
      <c r="X355" s="136"/>
      <c r="Y355" s="92"/>
      <c r="Z355" s="247"/>
      <c r="AA355" s="142">
        <f>Z355-Y355</f>
        <v>0</v>
      </c>
      <c r="AB355" s="244" t="str">
        <f>IF(AA355="","",IF(SUM(AA355-ref!E$38)&gt;0,0,IF(AA355=0, "0:00", SUM(AA355-ref!E$38))))</f>
        <v>0:00</v>
      </c>
      <c r="AC355" s="29"/>
      <c r="AD355" s="106"/>
      <c r="AE355" s="111">
        <f>SUM(AF355:AF361)</f>
        <v>5</v>
      </c>
      <c r="AF355" s="77">
        <f t="shared" ref="AF355:AF361" si="282">IF(AND(H355&lt;&gt;"",J355&lt;&gt;""),1,0+OR(N(J354)&lt;N(H354),F355="récupération",F355="congé 1 jour",F355="congé 1/2 jour ",F355="congé 5h24",F355="arrêt maladie",F355="arrêt travail",F355="férié ",F355="congé parentale",F355="congé de naissance"))</f>
        <v>1</v>
      </c>
      <c r="AG355" s="19"/>
      <c r="AH355" s="176" t="s">
        <v>71</v>
      </c>
      <c r="AI355" s="54" t="s">
        <v>68</v>
      </c>
      <c r="AJ355" s="177" t="s">
        <v>72</v>
      </c>
      <c r="AK355" s="55" cm="1">
        <f t="array" ref="AK355">IF(ISNUMBER(G356),G356-_xlfn.AGGREGATE(14,6,(K$4:K355&lt;G356)*K$4:K355,1),"")</f>
        <v>0.66666666666424135</v>
      </c>
      <c r="AL355" s="20">
        <f>IF(ISNUMBER(AK355),ABS(IF(SUM(AK355-ref!E$9)&gt;0,0,SUM(AK355-ref!E$9))),"")</f>
        <v>0</v>
      </c>
      <c r="AQ355"/>
    </row>
    <row r="356" spans="2:43" x14ac:dyDescent="0.25">
      <c r="B356" s="79" t="s">
        <v>1</v>
      </c>
      <c r="C356" s="90" t="s">
        <v>20</v>
      </c>
      <c r="D356" s="88"/>
      <c r="E356" s="154">
        <f t="shared" ref="E356:E361" si="283">E355+1</f>
        <v>44076</v>
      </c>
      <c r="F356" s="164" t="s">
        <v>20</v>
      </c>
      <c r="G356" s="155">
        <f t="shared" si="279"/>
        <v>44076.375</v>
      </c>
      <c r="H356" s="29">
        <v>0.375</v>
      </c>
      <c r="I356" s="23">
        <f t="shared" ref="I356:I361" si="284">SUM(V356+AA356+AC356)</f>
        <v>4.166666666666663E-2</v>
      </c>
      <c r="J356" s="29">
        <v>0.70833333333333337</v>
      </c>
      <c r="K356" s="46">
        <f t="shared" si="280"/>
        <v>44076.708333333336</v>
      </c>
      <c r="L356" s="21">
        <f>IF(OR(F356="télétravail",F356="férié travaillé",F356="travail"),(J356-H356+IF(H356&gt;J356,1)-I356),INDEX(ref!$E$22:'ref'!$E$37,MATCH(F356,gerald3,0)))</f>
        <v>0.29166666666666674</v>
      </c>
      <c r="M356" s="13">
        <f>IF(SUM(L356-ref!E$8)&lt;0,0,SUM(L356-ref!E$8))</f>
        <v>0</v>
      </c>
      <c r="N356" s="252">
        <f>L356-(hs!D355+hs!F355+hs!H355+hs!J355)</f>
        <v>-4.166666666666663E-2</v>
      </c>
      <c r="O356" s="8">
        <f>IF(OR(F356="férié travaillé",F356="travail",F356="asa",F356="rtt"),J356-H356+IF(H356&gt;J356,1),INDEX(ref!$E$22:'ref'!$E$37,MATCH(F356,gerald2,0)))</f>
        <v>0.33333333333333337</v>
      </c>
      <c r="P356" s="14">
        <f>IF(SUM(O356-ref!E$4)&lt;0,0,SUM(O356-ref!E$4))</f>
        <v>0</v>
      </c>
      <c r="Q356" s="24">
        <f t="shared" ref="Q356:Q361" si="285">Q355+L356</f>
        <v>0.58333333333333348</v>
      </c>
      <c r="S356" s="137"/>
      <c r="T356" s="92">
        <v>0.52083333333333337</v>
      </c>
      <c r="U356" s="129">
        <v>0.5625</v>
      </c>
      <c r="V356" s="142">
        <f t="shared" si="281"/>
        <v>4.166666666666663E-2</v>
      </c>
      <c r="W356" s="141">
        <f>IF(V356="","",IF(SUM(V356-ref!E$38)&gt;0,0,IF(V356=0, "0:00", SUM(V356-ref!E$38))))</f>
        <v>0</v>
      </c>
      <c r="X356" s="137"/>
      <c r="Y356" s="92"/>
      <c r="Z356" s="247"/>
      <c r="AA356" s="142">
        <f t="shared" ref="AA356:AA361" si="286">Z356-Y356</f>
        <v>0</v>
      </c>
      <c r="AB356" s="245" t="str">
        <f>IF(AA356="","",IF(SUM(AA356-ref!E$38)&gt;0,0,IF(AA356=0, "0:00", SUM(AA356-ref!E$38))))</f>
        <v>0:00</v>
      </c>
      <c r="AC356" s="29"/>
      <c r="AD356" s="106"/>
      <c r="AE356" s="112">
        <f>IF(SUM(AE355-ref!E$7)&lt;0,0,SUM(AE355-ref!E$7))</f>
        <v>0</v>
      </c>
      <c r="AF356" s="77">
        <f t="shared" si="282"/>
        <v>1</v>
      </c>
      <c r="AG356" s="19"/>
      <c r="AH356" s="178" t="s">
        <v>72</v>
      </c>
      <c r="AI356" s="54" t="s">
        <v>68</v>
      </c>
      <c r="AJ356" s="177" t="s">
        <v>73</v>
      </c>
      <c r="AK356" s="55" cm="1">
        <f t="array" ref="AK356">IF(ISNUMBER(G357),G357-_xlfn.AGGREGATE(14,6,(K$4:K356&lt;G357)*K$4:K356,1),"")</f>
        <v>0.66666666666424135</v>
      </c>
      <c r="AL356" s="20">
        <f>IF(ISNUMBER(AK356),ABS(IF(SUM(AK356-ref!E$9)&gt;0,0,SUM(AK356-ref!E$9))),"")</f>
        <v>0</v>
      </c>
      <c r="AQ356"/>
    </row>
    <row r="357" spans="2:43" x14ac:dyDescent="0.25">
      <c r="B357" s="80">
        <v>2</v>
      </c>
      <c r="C357" s="90" t="s">
        <v>20</v>
      </c>
      <c r="D357" s="88"/>
      <c r="E357" s="154">
        <f t="shared" si="283"/>
        <v>44077</v>
      </c>
      <c r="F357" s="164" t="s">
        <v>20</v>
      </c>
      <c r="G357" s="155">
        <f t="shared" si="279"/>
        <v>44077.375</v>
      </c>
      <c r="H357" s="29">
        <v>0.375</v>
      </c>
      <c r="I357" s="23">
        <f t="shared" si="284"/>
        <v>4.166666666666663E-2</v>
      </c>
      <c r="J357" s="29">
        <v>0.70833333333333337</v>
      </c>
      <c r="K357" s="46">
        <f t="shared" si="280"/>
        <v>44077.708333333336</v>
      </c>
      <c r="L357" s="21">
        <f>IF(OR(F357="télétravail",F357="férié travaillé",F357="travail"),(J357-H357+IF(H357&gt;J357,1)-I357),INDEX(ref!$E$22:'ref'!$E$37,MATCH(F357,gerald3,0)))</f>
        <v>0.29166666666666674</v>
      </c>
      <c r="M357" s="13">
        <f>IF(SUM(L357-ref!E$8)&lt;0,0,SUM(L357-ref!E$8))</f>
        <v>0</v>
      </c>
      <c r="N357" s="252">
        <f>L357-(hs!D356+hs!F356+hs!H356+hs!J356)</f>
        <v>-4.166666666666663E-2</v>
      </c>
      <c r="O357" s="8">
        <f>IF(OR(F357="férié travaillé",F357="travail",F357="asa",F357="rtt"),J357-H357+IF(H357&gt;J357,1),INDEX(ref!$E$22:'ref'!$E$37,MATCH(F357,gerald2,0)))</f>
        <v>0.33333333333333337</v>
      </c>
      <c r="P357" s="14">
        <f>IF(SUM(O357-ref!E$4)&lt;0,0,SUM(O357-ref!E$4))</f>
        <v>0</v>
      </c>
      <c r="Q357" s="24">
        <f t="shared" si="285"/>
        <v>0.87500000000000022</v>
      </c>
      <c r="S357" s="137"/>
      <c r="T357" s="92">
        <v>0.52083333333333337</v>
      </c>
      <c r="U357" s="129">
        <v>0.5625</v>
      </c>
      <c r="V357" s="142">
        <f t="shared" si="281"/>
        <v>4.166666666666663E-2</v>
      </c>
      <c r="W357" s="141">
        <f>IF(V357="","",IF(SUM(V357-ref!E$38)&gt;0,0,IF(V357=0, "0:00", SUM(V357-ref!E$38))))</f>
        <v>0</v>
      </c>
      <c r="X357" s="137"/>
      <c r="Y357" s="92"/>
      <c r="Z357" s="247"/>
      <c r="AA357" s="142">
        <f t="shared" si="286"/>
        <v>0</v>
      </c>
      <c r="AB357" s="245" t="str">
        <f>IF(AA357="","",IF(SUM(AA357-ref!E$38)&gt;0,0,IF(AA357=0, "0:00", SUM(AA357-ref!E$38))))</f>
        <v>0:00</v>
      </c>
      <c r="AC357" s="29"/>
      <c r="AD357" s="106"/>
      <c r="AE357" s="113" t="s">
        <v>29</v>
      </c>
      <c r="AF357" s="77">
        <f t="shared" si="282"/>
        <v>1</v>
      </c>
      <c r="AG357" s="19"/>
      <c r="AH357" s="178" t="s">
        <v>73</v>
      </c>
      <c r="AI357" s="54" t="s">
        <v>68</v>
      </c>
      <c r="AJ357" s="177" t="s">
        <v>74</v>
      </c>
      <c r="AK357" s="55" cm="1">
        <f t="array" ref="AK357">IF(ISNUMBER(G358),G358-_xlfn.AGGREGATE(14,6,(K$4:K357&lt;G358)*K$4:K357,1),"")</f>
        <v>0.66666666666424135</v>
      </c>
      <c r="AL357" s="20">
        <f>IF(ISNUMBER(AK357),ABS(IF(SUM(AK357-ref!E$9)&gt;0,0,SUM(AK357-ref!E$9))),"")</f>
        <v>0</v>
      </c>
      <c r="AQ357"/>
    </row>
    <row r="358" spans="2:43" x14ac:dyDescent="0.25">
      <c r="B358" s="79" t="s">
        <v>58</v>
      </c>
      <c r="C358" s="90" t="s">
        <v>20</v>
      </c>
      <c r="D358" s="88"/>
      <c r="E358" s="154">
        <f t="shared" si="283"/>
        <v>44078</v>
      </c>
      <c r="F358" s="164" t="s">
        <v>20</v>
      </c>
      <c r="G358" s="155">
        <f t="shared" si="279"/>
        <v>44078.375</v>
      </c>
      <c r="H358" s="29">
        <v>0.375</v>
      </c>
      <c r="I358" s="23">
        <f t="shared" si="284"/>
        <v>4.166666666666663E-2</v>
      </c>
      <c r="J358" s="29">
        <v>0.70833333333333337</v>
      </c>
      <c r="K358" s="46">
        <f t="shared" si="280"/>
        <v>44078.708333333336</v>
      </c>
      <c r="L358" s="21">
        <f>IF(OR(F358="télétravail",F358="férié travaillé",F358="travail"),(J358-H358+IF(H358&gt;J358,1)-I358),INDEX(ref!$E$22:'ref'!$E$37,MATCH(F358,gerald3,0)))</f>
        <v>0.29166666666666674</v>
      </c>
      <c r="M358" s="13">
        <f>IF(SUM(L358-ref!E$8)&lt;0,0,SUM(L358-ref!E$8))</f>
        <v>0</v>
      </c>
      <c r="N358" s="252">
        <f>L358-(hs!D357+hs!F357+hs!H357+hs!J357)</f>
        <v>-4.166666666666663E-2</v>
      </c>
      <c r="O358" s="8">
        <f>IF(OR(F358="férié travaillé",F358="travail",F358="asa",F358="rtt"),J358-H358+IF(H358&gt;J358,1),INDEX(ref!$E$22:'ref'!$E$37,MATCH(F358,gerald2,0)))</f>
        <v>0.33333333333333337</v>
      </c>
      <c r="P358" s="14">
        <f>IF(SUM(O358-ref!E$4)&lt;0,0,SUM(O358-ref!E$4))</f>
        <v>0</v>
      </c>
      <c r="Q358" s="24">
        <f t="shared" si="285"/>
        <v>1.166666666666667</v>
      </c>
      <c r="S358" s="137"/>
      <c r="T358" s="92">
        <v>0.52083333333333337</v>
      </c>
      <c r="U358" s="129">
        <v>0.5625</v>
      </c>
      <c r="V358" s="142">
        <f t="shared" si="281"/>
        <v>4.166666666666663E-2</v>
      </c>
      <c r="W358" s="141">
        <f>IF(V358="","",IF(SUM(V358-ref!E$38)&gt;0,0,IF(V358=0, "0:00", SUM(V358-ref!E$38))))</f>
        <v>0</v>
      </c>
      <c r="X358" s="137"/>
      <c r="Y358" s="92"/>
      <c r="Z358" s="247"/>
      <c r="AA358" s="142">
        <f t="shared" si="286"/>
        <v>0</v>
      </c>
      <c r="AB358" s="245" t="str">
        <f>IF(AA358="","",IF(SUM(AA358-ref!E$38)&gt;0,0,IF(AA358=0, "0:00", SUM(AA358-ref!E$38))))</f>
        <v>0:00</v>
      </c>
      <c r="AC358" s="29"/>
      <c r="AD358" s="106"/>
      <c r="AE358" s="114">
        <f>Q361</f>
        <v>1.4583333333333337</v>
      </c>
      <c r="AF358" s="77">
        <f t="shared" si="282"/>
        <v>1</v>
      </c>
      <c r="AG358" s="19"/>
      <c r="AH358" s="178" t="s">
        <v>74</v>
      </c>
      <c r="AI358" s="54" t="s">
        <v>68</v>
      </c>
      <c r="AJ358" s="177" t="s">
        <v>75</v>
      </c>
      <c r="AK358" s="55" cm="1">
        <f t="array" ref="AK358">IF(ISNUMBER(G359),G359-_xlfn.AGGREGATE(14,6,(K$4:K358&lt;G359)*K$4:K358,1),"")</f>
        <v>0.66666666666424135</v>
      </c>
      <c r="AL358" s="20">
        <f>IF(ISNUMBER(AK358),ABS(IF(SUM(AK358-ref!E$9)&gt;0,0,SUM(AK358-ref!E$9))),"")</f>
        <v>0</v>
      </c>
      <c r="AQ358"/>
    </row>
    <row r="359" spans="2:43" x14ac:dyDescent="0.25">
      <c r="B359" s="81">
        <v>9</v>
      </c>
      <c r="C359" s="90" t="s">
        <v>20</v>
      </c>
      <c r="D359" s="88"/>
      <c r="E359" s="154">
        <f t="shared" si="283"/>
        <v>44079</v>
      </c>
      <c r="F359" s="164" t="s">
        <v>20</v>
      </c>
      <c r="G359" s="155">
        <f t="shared" si="279"/>
        <v>44079.375</v>
      </c>
      <c r="H359" s="29">
        <v>0.375</v>
      </c>
      <c r="I359" s="23">
        <f t="shared" si="284"/>
        <v>4.166666666666663E-2</v>
      </c>
      <c r="J359" s="29">
        <v>0.70833333333333337</v>
      </c>
      <c r="K359" s="46">
        <f t="shared" si="280"/>
        <v>44079.708333333336</v>
      </c>
      <c r="L359" s="21">
        <f>IF(OR(F359="télétravail",F359="férié travaillé",F359="travail"),(J359-H359+IF(H359&gt;J359,1)-I359),INDEX(ref!$E$22:'ref'!$E$37,MATCH(F359,gerald3,0)))</f>
        <v>0.29166666666666674</v>
      </c>
      <c r="M359" s="13">
        <f>IF(SUM(L359-ref!E$8)&lt;0,0,SUM(L359-ref!E$8))</f>
        <v>0</v>
      </c>
      <c r="N359" s="252">
        <f>L359-(hs!D358+hs!F358+hs!H358+hs!J358)</f>
        <v>-4.166666666666663E-2</v>
      </c>
      <c r="O359" s="8">
        <f>IF(OR(F359="férié travaillé",F359="travail",F359="asa",F359="rtt"),J359-H359+IF(H359&gt;J359,1),INDEX(ref!$E$22:'ref'!$E$37,MATCH(F359,gerald2,0)))</f>
        <v>0.33333333333333337</v>
      </c>
      <c r="P359" s="14">
        <f>IF(SUM(O359-ref!E$4)&lt;0,0,SUM(O359-ref!E$4))</f>
        <v>0</v>
      </c>
      <c r="Q359" s="24">
        <f t="shared" si="285"/>
        <v>1.4583333333333337</v>
      </c>
      <c r="S359" s="137"/>
      <c r="T359" s="92">
        <v>0.52083333333333337</v>
      </c>
      <c r="U359" s="129">
        <v>0.5625</v>
      </c>
      <c r="V359" s="142">
        <f t="shared" si="281"/>
        <v>4.166666666666663E-2</v>
      </c>
      <c r="W359" s="141">
        <f>IF(V359="","",IF(SUM(V359-ref!E$38)&gt;0,0,IF(V359=0, "0:00", SUM(V359-ref!E$38))))</f>
        <v>0</v>
      </c>
      <c r="X359" s="137"/>
      <c r="Y359" s="92"/>
      <c r="Z359" s="247"/>
      <c r="AA359" s="142">
        <f t="shared" si="286"/>
        <v>0</v>
      </c>
      <c r="AB359" s="245" t="str">
        <f>IF(AA359="","",IF(SUM(AA359-ref!E$38)&gt;0,0,IF(AA359=0, "0:00", SUM(AA359-ref!E$38))))</f>
        <v>0:00</v>
      </c>
      <c r="AC359" s="29"/>
      <c r="AD359" s="106"/>
      <c r="AE359" s="117" t="s">
        <v>47</v>
      </c>
      <c r="AF359" s="77">
        <f t="shared" si="282"/>
        <v>1</v>
      </c>
      <c r="AG359" s="19"/>
      <c r="AH359" s="178" t="s">
        <v>75</v>
      </c>
      <c r="AI359" s="54" t="s">
        <v>68</v>
      </c>
      <c r="AJ359" s="177" t="s">
        <v>76</v>
      </c>
      <c r="AK359" s="55" t="str" cm="1">
        <f t="array" ref="AK359">IF(ISNUMBER(G360),G360-_xlfn.AGGREGATE(14,6,(K$4:K359&lt;G360)*K$4:K359,1),"")</f>
        <v/>
      </c>
      <c r="AL359" s="20" t="str">
        <f>IF(ISNUMBER(AK359),ABS(IF(SUM(AK359-ref!E$9)&gt;0,0,SUM(AK359-ref!E$9))),"")</f>
        <v/>
      </c>
      <c r="AQ359"/>
    </row>
    <row r="360" spans="2:43" ht="15.75" thickBot="1" x14ac:dyDescent="0.3">
      <c r="B360"/>
      <c r="C360" s="89"/>
      <c r="D360" s="89"/>
      <c r="E360" s="154">
        <f t="shared" si="283"/>
        <v>44080</v>
      </c>
      <c r="F360" s="164" t="s">
        <v>19</v>
      </c>
      <c r="G360" s="155" t="str">
        <f t="shared" si="279"/>
        <v/>
      </c>
      <c r="H360" s="29"/>
      <c r="I360" s="23">
        <f t="shared" si="284"/>
        <v>0</v>
      </c>
      <c r="J360" s="29"/>
      <c r="K360" s="46" t="str">
        <f t="shared" si="280"/>
        <v/>
      </c>
      <c r="L360" s="21">
        <f>IF(OR(F360="télétravail",F360="férié travaillé",F360="travail"),(J360-H360+IF(H360&gt;J360,1)-I360),INDEX(ref!$E$22:'ref'!$E$37,MATCH(F360,gerald3,0)))</f>
        <v>0</v>
      </c>
      <c r="M360" s="13">
        <f>IF(SUM(L360-ref!E$8)&lt;0,0,SUM(L360-ref!E$8))</f>
        <v>0</v>
      </c>
      <c r="N360" s="252">
        <f>L360-(hs!D359+hs!F359+hs!H359+hs!J359)</f>
        <v>0</v>
      </c>
      <c r="O360" s="8">
        <f>IF(OR(F360="férié travaillé",F360="travail",F360="asa",F360="rtt"),J360-H360+IF(H360&gt;J360,1),INDEX(ref!$E$22:'ref'!$E$37,MATCH(F360,gerald2,0)))</f>
        <v>0</v>
      </c>
      <c r="P360" s="14">
        <f>IF(SUM(O360-ref!E$4)&lt;0,0,SUM(O360-ref!E$4))</f>
        <v>0</v>
      </c>
      <c r="Q360" s="97">
        <f t="shared" si="285"/>
        <v>1.4583333333333337</v>
      </c>
      <c r="S360" s="137"/>
      <c r="T360" s="92"/>
      <c r="U360" s="129"/>
      <c r="V360" s="142">
        <f t="shared" si="281"/>
        <v>0</v>
      </c>
      <c r="W360" s="141" t="str">
        <f>IF(V360="","",IF(SUM(V360-ref!E$38)&gt;0,0,IF(V360=0, "0:00", SUM(V360-ref!E$38))))</f>
        <v>0:00</v>
      </c>
      <c r="X360" s="137"/>
      <c r="Y360" s="92"/>
      <c r="Z360" s="247"/>
      <c r="AA360" s="142">
        <f t="shared" si="286"/>
        <v>0</v>
      </c>
      <c r="AB360" s="245" t="str">
        <f>IF(AA360="","",IF(SUM(AA360-ref!E$38)&gt;0,0,IF(AA360=0, "0:00", SUM(AA360-ref!E$38))))</f>
        <v>0:00</v>
      </c>
      <c r="AC360" s="29"/>
      <c r="AD360" s="106"/>
      <c r="AE360" s="118">
        <f>ref!E$11</f>
        <v>2</v>
      </c>
      <c r="AF360" s="77">
        <f t="shared" si="282"/>
        <v>0</v>
      </c>
      <c r="AG360" s="19"/>
      <c r="AH360" s="178" t="s">
        <v>76</v>
      </c>
      <c r="AI360" s="54" t="s">
        <v>68</v>
      </c>
      <c r="AJ360" s="177" t="s">
        <v>77</v>
      </c>
      <c r="AK360" s="55" t="str" cm="1">
        <f t="array" ref="AK360">IF(ISNUMBER(G361),G361-_xlfn.AGGREGATE(14,6,(K$4:K360&lt;G361)*K$4:K360,1),"")</f>
        <v/>
      </c>
      <c r="AL360" s="20" t="str">
        <f>IF(ISNUMBER(AK360),ABS(IF(SUM(AK360-ref!E$9)&gt;0,0,SUM(AK360-ref!E$9))),"")</f>
        <v/>
      </c>
      <c r="AQ360"/>
    </row>
    <row r="361" spans="2:43" ht="15.75" thickBot="1" x14ac:dyDescent="0.3">
      <c r="B361"/>
      <c r="C361" s="89"/>
      <c r="D361" s="89"/>
      <c r="E361" s="154">
        <f t="shared" si="283"/>
        <v>44081</v>
      </c>
      <c r="F361" s="165" t="s">
        <v>19</v>
      </c>
      <c r="G361" s="155" t="str">
        <f t="shared" si="279"/>
        <v/>
      </c>
      <c r="H361" s="29"/>
      <c r="I361" s="23">
        <f t="shared" si="284"/>
        <v>0</v>
      </c>
      <c r="J361" s="29"/>
      <c r="K361" s="46" t="str">
        <f t="shared" si="280"/>
        <v/>
      </c>
      <c r="L361" s="21">
        <f>IF(OR(F361="télétravail",F361="férié travaillé",F361="travail"),(J361-H361+IF(H361&gt;J361,1)-I361),INDEX(ref!$E$22:'ref'!$E$37,MATCH(F361,gerald3,0)))</f>
        <v>0</v>
      </c>
      <c r="M361" s="13">
        <f>IF(SUM(L361-ref!E$8)&lt;0,0,SUM(L361-ref!E$8))</f>
        <v>0</v>
      </c>
      <c r="N361" s="252">
        <f>L361-(hs!D360+hs!F360+hs!H360+hs!J360)</f>
        <v>0</v>
      </c>
      <c r="O361" s="8">
        <f>IF(OR(F361="férié travaillé",F361="travail",F361="asa",F361="rtt"),J361-H361+IF(H361&gt;J361,1),INDEX(ref!$E$22:'ref'!$E$37,MATCH(F361,gerald2,0)))</f>
        <v>0</v>
      </c>
      <c r="P361" s="14">
        <f>IF(SUM(O361-ref!E$4)&lt;0,0,SUM(O361-ref!E$4))</f>
        <v>0</v>
      </c>
      <c r="Q361" s="94">
        <f t="shared" si="285"/>
        <v>1.4583333333333337</v>
      </c>
      <c r="S361" s="138"/>
      <c r="T361" s="92"/>
      <c r="U361" s="129"/>
      <c r="V361" s="142">
        <f t="shared" si="281"/>
        <v>0</v>
      </c>
      <c r="W361" s="141" t="str">
        <f>IF(V361="","",IF(SUM(V361-ref!E$38)&gt;0,0,IF(V361=0, "0:00", SUM(V361-ref!E$38))))</f>
        <v>0:00</v>
      </c>
      <c r="X361" s="138"/>
      <c r="Y361" s="92"/>
      <c r="Z361" s="247"/>
      <c r="AA361" s="142">
        <f t="shared" si="286"/>
        <v>0</v>
      </c>
      <c r="AB361" s="246" t="str">
        <f>IF(AA361="","",IF(SUM(AA361-ref!E$38)&gt;0,0,IF(AA361=0, "0:00", SUM(AA361-ref!E$38))))</f>
        <v>0:00</v>
      </c>
      <c r="AC361" s="29"/>
      <c r="AD361" s="106"/>
      <c r="AE361" s="110">
        <f>IF(SUM(Q361-ref!E$11)&lt;0,0,SUM(Q361-ref!E$11))</f>
        <v>0</v>
      </c>
      <c r="AF361" s="77">
        <f t="shared" si="282"/>
        <v>0</v>
      </c>
      <c r="AG361" s="19"/>
      <c r="AQ361"/>
    </row>
    <row r="362" spans="2:43" x14ac:dyDescent="0.25">
      <c r="C362" s="89"/>
      <c r="D362" s="89"/>
      <c r="W362" s="74"/>
      <c r="X362" s="2"/>
      <c r="Z362"/>
      <c r="AA362" s="2"/>
      <c r="AB362" s="2"/>
      <c r="AC362" s="127"/>
      <c r="AQ362"/>
    </row>
    <row r="363" spans="2:43" x14ac:dyDescent="0.25">
      <c r="C363" s="89"/>
      <c r="D363" s="89"/>
      <c r="X363" s="2"/>
      <c r="Z363"/>
      <c r="AA363" s="2"/>
      <c r="AB363" s="2"/>
      <c r="AC363" s="127"/>
      <c r="AQ363"/>
    </row>
    <row r="364" spans="2:43" ht="15.75" thickBot="1" x14ac:dyDescent="0.3">
      <c r="C364" s="89"/>
      <c r="D364" s="89"/>
      <c r="X364" s="2"/>
      <c r="Z364"/>
      <c r="AA364" s="2"/>
      <c r="AB364" s="2"/>
      <c r="AC364" s="127"/>
      <c r="AQ364"/>
    </row>
    <row r="365" spans="2:43" x14ac:dyDescent="0.25">
      <c r="B365" s="78" t="s">
        <v>1</v>
      </c>
      <c r="C365" s="88" t="s">
        <v>20</v>
      </c>
      <c r="D365" s="88"/>
      <c r="E365" s="154">
        <f>DATE(ref!E$2,B369,B367)</f>
        <v>44082</v>
      </c>
      <c r="F365" s="163" t="s">
        <v>20</v>
      </c>
      <c r="G365" s="155">
        <f t="shared" ref="G365:G371" si="287">IF(AND(J365="",H365=""),"",E365+H365)</f>
        <v>44082.375</v>
      </c>
      <c r="H365" s="29">
        <v>0.375</v>
      </c>
      <c r="I365" s="23">
        <f>SUM(V365+AA365+AC365)</f>
        <v>4.166666666666663E-2</v>
      </c>
      <c r="J365" s="29">
        <v>0.70833333333333337</v>
      </c>
      <c r="K365" s="46">
        <f t="shared" ref="K365:K371" si="288">IF(AND(H365="",J365=""),"",E365+J365+(H365&gt;J365))</f>
        <v>44082.708333333336</v>
      </c>
      <c r="L365" s="21">
        <f>IF(OR(F365="télétravail",F365="férié travaillé",F365="travail"),(J365-H365+IF(H365&gt;J365,1)-I365),INDEX(ref!$E$22:'ref'!$E$37,MATCH(F365,gerald3,0)))</f>
        <v>0.29166666666666674</v>
      </c>
      <c r="M365" s="13">
        <f>IF(SUM(L365-ref!E$8)&lt;0,0,SUM(L365-ref!E$8))</f>
        <v>0</v>
      </c>
      <c r="N365" s="252">
        <f>L365-(hs!D364+hs!F364+hs!H364+hs!J364)</f>
        <v>-4.166666666666663E-2</v>
      </c>
      <c r="O365" s="8">
        <f>IF(OR(F365="férié travaillé",F365="travail",F365="asa",F365="rtt"),J365-H365+IF(H365&gt;J365,1),INDEX(ref!$E$22:'ref'!$E$37,MATCH(F365,gerald2,0)))</f>
        <v>0.33333333333333337</v>
      </c>
      <c r="P365" s="14">
        <f>IF(SUM(O365-ref!E$4)&lt;0,0,SUM(O365-ref!E$4))</f>
        <v>0</v>
      </c>
      <c r="Q365" s="21">
        <f>L365</f>
        <v>0.29166666666666674</v>
      </c>
      <c r="S365" s="136"/>
      <c r="T365" s="92">
        <v>0.52083333333333337</v>
      </c>
      <c r="U365" s="129">
        <v>0.5625</v>
      </c>
      <c r="V365" s="142">
        <f t="shared" ref="V365:V371" si="289">U365-T365</f>
        <v>4.166666666666663E-2</v>
      </c>
      <c r="W365" s="141">
        <f>IF(V365="","",IF(SUM(V365-ref!E$38)&gt;0,0,IF(V365=0, "0:00", SUM(V365-ref!E$38))))</f>
        <v>0</v>
      </c>
      <c r="X365" s="136"/>
      <c r="Y365" s="92"/>
      <c r="Z365" s="247"/>
      <c r="AA365" s="142">
        <f>Z365-Y365</f>
        <v>0</v>
      </c>
      <c r="AB365" s="244" t="str">
        <f>IF(AA365="","",IF(SUM(AA365-ref!E$38)&gt;0,0,IF(AA365=0, "0:00", SUM(AA365-ref!E$38))))</f>
        <v>0:00</v>
      </c>
      <c r="AC365" s="29"/>
      <c r="AD365" s="106"/>
      <c r="AE365" s="111">
        <f>SUM(AF365:AF371)</f>
        <v>5</v>
      </c>
      <c r="AF365" s="77">
        <f t="shared" ref="AF365:AF371" si="290">IF(AND(H365&lt;&gt;"",J365&lt;&gt;""),1,0+OR(N(J364)&lt;N(H364),F365="récupération",F365="congé 1 jour",F365="congé 1/2 jour ",F365="congé 5h24",F365="arrêt maladie",F365="arrêt travail",F365="férié ",F365="congé parentale",F365="congé de naissance"))</f>
        <v>1</v>
      </c>
      <c r="AG365" s="19"/>
      <c r="AH365" s="176" t="s">
        <v>71</v>
      </c>
      <c r="AI365" s="54" t="s">
        <v>68</v>
      </c>
      <c r="AJ365" s="177" t="s">
        <v>72</v>
      </c>
      <c r="AK365" s="55" cm="1">
        <f t="array" ref="AK365">IF(ISNUMBER(G366),G366-_xlfn.AGGREGATE(14,6,(K$4:K365&lt;G366)*K$4:K365,1),"")</f>
        <v>0.66666666666424135</v>
      </c>
      <c r="AL365" s="20">
        <f>IF(ISNUMBER(AK365),ABS(IF(SUM(AK365-ref!E$9)&gt;0,0,SUM(AK365-ref!E$9))),"")</f>
        <v>0</v>
      </c>
      <c r="AQ365"/>
    </row>
    <row r="366" spans="2:43" x14ac:dyDescent="0.25">
      <c r="B366" s="79" t="s">
        <v>1</v>
      </c>
      <c r="C366" s="88" t="s">
        <v>20</v>
      </c>
      <c r="D366" s="88"/>
      <c r="E366" s="154">
        <f t="shared" ref="E366:E371" si="291">E365+1</f>
        <v>44083</v>
      </c>
      <c r="F366" s="164" t="s">
        <v>20</v>
      </c>
      <c r="G366" s="155">
        <f t="shared" si="287"/>
        <v>44083.375</v>
      </c>
      <c r="H366" s="29">
        <v>0.375</v>
      </c>
      <c r="I366" s="23">
        <f t="shared" ref="I366:I371" si="292">SUM(V366+AA366+AC366)</f>
        <v>4.166666666666663E-2</v>
      </c>
      <c r="J366" s="29">
        <v>0.70833333333333337</v>
      </c>
      <c r="K366" s="46">
        <f t="shared" si="288"/>
        <v>44083.708333333336</v>
      </c>
      <c r="L366" s="21">
        <f>IF(OR(F366="télétravail",F366="férié travaillé",F366="travail"),(J366-H366+IF(H366&gt;J366,1)-I366),INDEX(ref!$E$22:'ref'!$E$37,MATCH(F366,gerald3,0)))</f>
        <v>0.29166666666666674</v>
      </c>
      <c r="M366" s="13">
        <f>IF(SUM(L366-ref!E$8)&lt;0,0,SUM(L366-ref!E$8))</f>
        <v>0</v>
      </c>
      <c r="N366" s="252">
        <f>L366-(hs!D365+hs!F365+hs!H365+hs!J365)</f>
        <v>-4.166666666666663E-2</v>
      </c>
      <c r="O366" s="8">
        <f>IF(OR(F366="férié travaillé",F366="travail",F366="asa",F366="rtt"),J366-H366+IF(H366&gt;J366,1),INDEX(ref!$E$22:'ref'!$E$37,MATCH(F366,gerald2,0)))</f>
        <v>0.33333333333333337</v>
      </c>
      <c r="P366" s="14">
        <f>IF(SUM(O366-ref!E$4)&lt;0,0,SUM(O366-ref!E$4))</f>
        <v>0</v>
      </c>
      <c r="Q366" s="24">
        <f t="shared" ref="Q366:Q371" si="293">Q365+L366</f>
        <v>0.58333333333333348</v>
      </c>
      <c r="S366" s="137"/>
      <c r="T366" s="92">
        <v>0.52083333333333337</v>
      </c>
      <c r="U366" s="129">
        <v>0.5625</v>
      </c>
      <c r="V366" s="142">
        <f t="shared" si="289"/>
        <v>4.166666666666663E-2</v>
      </c>
      <c r="W366" s="141">
        <f>IF(V366="","",IF(SUM(V366-ref!E$38)&gt;0,0,IF(V366=0, "0:00", SUM(V366-ref!E$38))))</f>
        <v>0</v>
      </c>
      <c r="X366" s="137"/>
      <c r="Y366" s="92"/>
      <c r="Z366" s="247"/>
      <c r="AA366" s="142">
        <f t="shared" ref="AA366:AA371" si="294">Z366-Y366</f>
        <v>0</v>
      </c>
      <c r="AB366" s="245" t="str">
        <f>IF(AA366="","",IF(SUM(AA366-ref!E$38)&gt;0,0,IF(AA366=0, "0:00", SUM(AA366-ref!E$38))))</f>
        <v>0:00</v>
      </c>
      <c r="AC366" s="29"/>
      <c r="AD366" s="106"/>
      <c r="AE366" s="112">
        <f>IF(SUM(AE365-ref!E$7)&lt;0,0,SUM(AE365-ref!E$7))</f>
        <v>0</v>
      </c>
      <c r="AF366" s="77">
        <f t="shared" si="290"/>
        <v>1</v>
      </c>
      <c r="AG366" s="19"/>
      <c r="AH366" s="178" t="s">
        <v>72</v>
      </c>
      <c r="AI366" s="54" t="s">
        <v>68</v>
      </c>
      <c r="AJ366" s="177" t="s">
        <v>73</v>
      </c>
      <c r="AK366" s="55" cm="1">
        <f t="array" ref="AK366">IF(ISNUMBER(G367),G367-_xlfn.AGGREGATE(14,6,(K$4:K366&lt;G367)*K$4:K366,1),"")</f>
        <v>0.66666666666424135</v>
      </c>
      <c r="AL366" s="20">
        <f>IF(ISNUMBER(AK366),ABS(IF(SUM(AK366-ref!E$9)&gt;0,0,SUM(AK366-ref!E$9))),"")</f>
        <v>0</v>
      </c>
      <c r="AQ366"/>
    </row>
    <row r="367" spans="2:43" x14ac:dyDescent="0.25">
      <c r="B367" s="80">
        <v>9</v>
      </c>
      <c r="C367" s="88" t="s">
        <v>20</v>
      </c>
      <c r="D367" s="88"/>
      <c r="E367" s="154">
        <f t="shared" si="291"/>
        <v>44084</v>
      </c>
      <c r="F367" s="164" t="s">
        <v>20</v>
      </c>
      <c r="G367" s="155">
        <f t="shared" si="287"/>
        <v>44084.375</v>
      </c>
      <c r="H367" s="29">
        <v>0.375</v>
      </c>
      <c r="I367" s="23">
        <f t="shared" si="292"/>
        <v>4.166666666666663E-2</v>
      </c>
      <c r="J367" s="29">
        <v>0.70833333333333337</v>
      </c>
      <c r="K367" s="46">
        <f t="shared" si="288"/>
        <v>44084.708333333336</v>
      </c>
      <c r="L367" s="21">
        <f>IF(OR(F367="télétravail",F367="férié travaillé",F367="travail"),(J367-H367+IF(H367&gt;J367,1)-I367),INDEX(ref!$E$22:'ref'!$E$37,MATCH(F367,gerald3,0)))</f>
        <v>0.29166666666666674</v>
      </c>
      <c r="M367" s="13">
        <f>IF(SUM(L367-ref!E$8)&lt;0,0,SUM(L367-ref!E$8))</f>
        <v>0</v>
      </c>
      <c r="N367" s="252">
        <f>L367-(hs!D366+hs!F366+hs!H366+hs!J366)</f>
        <v>-4.166666666666663E-2</v>
      </c>
      <c r="O367" s="8">
        <f>IF(OR(F367="férié travaillé",F367="travail",F367="asa",F367="rtt"),J367-H367+IF(H367&gt;J367,1),INDEX(ref!$E$22:'ref'!$E$37,MATCH(F367,gerald2,0)))</f>
        <v>0.33333333333333337</v>
      </c>
      <c r="P367" s="14">
        <f>IF(SUM(O367-ref!E$4)&lt;0,0,SUM(O367-ref!E$4))</f>
        <v>0</v>
      </c>
      <c r="Q367" s="24">
        <f t="shared" si="293"/>
        <v>0.87500000000000022</v>
      </c>
      <c r="S367" s="137"/>
      <c r="T367" s="92">
        <v>0.52083333333333337</v>
      </c>
      <c r="U367" s="129">
        <v>0.5625</v>
      </c>
      <c r="V367" s="142">
        <f t="shared" si="289"/>
        <v>4.166666666666663E-2</v>
      </c>
      <c r="W367" s="141">
        <f>IF(V367="","",IF(SUM(V367-ref!E$38)&gt;0,0,IF(V367=0, "0:00", SUM(V367-ref!E$38))))</f>
        <v>0</v>
      </c>
      <c r="X367" s="137"/>
      <c r="Y367" s="92"/>
      <c r="Z367" s="247"/>
      <c r="AA367" s="142">
        <f t="shared" si="294"/>
        <v>0</v>
      </c>
      <c r="AB367" s="245" t="str">
        <f>IF(AA367="","",IF(SUM(AA367-ref!E$38)&gt;0,0,IF(AA367=0, "0:00", SUM(AA367-ref!E$38))))</f>
        <v>0:00</v>
      </c>
      <c r="AC367" s="29"/>
      <c r="AD367" s="106"/>
      <c r="AE367" s="113" t="s">
        <v>29</v>
      </c>
      <c r="AF367" s="77">
        <f t="shared" si="290"/>
        <v>1</v>
      </c>
      <c r="AG367" s="19"/>
      <c r="AH367" s="178" t="s">
        <v>73</v>
      </c>
      <c r="AI367" s="54" t="s">
        <v>68</v>
      </c>
      <c r="AJ367" s="177" t="s">
        <v>74</v>
      </c>
      <c r="AK367" s="55" cm="1">
        <f t="array" ref="AK367">IF(ISNUMBER(G368),G368-_xlfn.AGGREGATE(14,6,(K$4:K367&lt;G368)*K$4:K367,1),"")</f>
        <v>0.66666666666424135</v>
      </c>
      <c r="AL367" s="20">
        <f>IF(ISNUMBER(AK367),ABS(IF(SUM(AK367-ref!E$9)&gt;0,0,SUM(AK367-ref!E$9))),"")</f>
        <v>0</v>
      </c>
      <c r="AQ367"/>
    </row>
    <row r="368" spans="2:43" x14ac:dyDescent="0.25">
      <c r="B368" s="79" t="s">
        <v>58</v>
      </c>
      <c r="C368" s="88" t="s">
        <v>20</v>
      </c>
      <c r="D368" s="88"/>
      <c r="E368" s="154">
        <f t="shared" si="291"/>
        <v>44085</v>
      </c>
      <c r="F368" s="164" t="s">
        <v>20</v>
      </c>
      <c r="G368" s="155">
        <f t="shared" si="287"/>
        <v>44085.375</v>
      </c>
      <c r="H368" s="29">
        <v>0.375</v>
      </c>
      <c r="I368" s="23">
        <f t="shared" si="292"/>
        <v>4.166666666666663E-2</v>
      </c>
      <c r="J368" s="29">
        <v>0.70833333333333337</v>
      </c>
      <c r="K368" s="46">
        <f t="shared" si="288"/>
        <v>44085.708333333336</v>
      </c>
      <c r="L368" s="21">
        <f>IF(OR(F368="télétravail",F368="férié travaillé",F368="travail"),(J368-H368+IF(H368&gt;J368,1)-I368),INDEX(ref!$E$22:'ref'!$E$37,MATCH(F368,gerald3,0)))</f>
        <v>0.29166666666666674</v>
      </c>
      <c r="M368" s="13">
        <f>IF(SUM(L368-ref!E$8)&lt;0,0,SUM(L368-ref!E$8))</f>
        <v>0</v>
      </c>
      <c r="N368" s="252">
        <f>L368-(hs!D367+hs!F367+hs!H367+hs!J367)</f>
        <v>-4.166666666666663E-2</v>
      </c>
      <c r="O368" s="8">
        <f>IF(OR(F368="férié travaillé",F368="travail",F368="asa",F368="rtt"),J368-H368+IF(H368&gt;J368,1),INDEX(ref!$E$22:'ref'!$E$37,MATCH(F368,gerald2,0)))</f>
        <v>0.33333333333333337</v>
      </c>
      <c r="P368" s="14">
        <f>IF(SUM(O368-ref!E$4)&lt;0,0,SUM(O368-ref!E$4))</f>
        <v>0</v>
      </c>
      <c r="Q368" s="93">
        <f t="shared" si="293"/>
        <v>1.166666666666667</v>
      </c>
      <c r="S368" s="137"/>
      <c r="T368" s="92">
        <v>0.52083333333333337</v>
      </c>
      <c r="U368" s="129">
        <v>0.5625</v>
      </c>
      <c r="V368" s="142">
        <f t="shared" si="289"/>
        <v>4.166666666666663E-2</v>
      </c>
      <c r="W368" s="141">
        <f>IF(V368="","",IF(SUM(V368-ref!E$38)&gt;0,0,IF(V368=0, "0:00", SUM(V368-ref!E$38))))</f>
        <v>0</v>
      </c>
      <c r="X368" s="137"/>
      <c r="Y368" s="92"/>
      <c r="Z368" s="247"/>
      <c r="AA368" s="142">
        <f t="shared" si="294"/>
        <v>0</v>
      </c>
      <c r="AB368" s="245" t="str">
        <f>IF(AA368="","",IF(SUM(AA368-ref!E$38)&gt;0,0,IF(AA368=0, "0:00", SUM(AA368-ref!E$38))))</f>
        <v>0:00</v>
      </c>
      <c r="AC368" s="29"/>
      <c r="AD368" s="106"/>
      <c r="AE368" s="114">
        <f>Q371</f>
        <v>1.4583333333333337</v>
      </c>
      <c r="AF368" s="77">
        <f t="shared" si="290"/>
        <v>1</v>
      </c>
      <c r="AG368" s="19"/>
      <c r="AH368" s="178" t="s">
        <v>74</v>
      </c>
      <c r="AI368" s="54" t="s">
        <v>68</v>
      </c>
      <c r="AJ368" s="177" t="s">
        <v>75</v>
      </c>
      <c r="AK368" s="55" cm="1">
        <f t="array" ref="AK368">IF(ISNUMBER(G369),G369-_xlfn.AGGREGATE(14,6,(K$4:K368&lt;G369)*K$4:K368,1),"")</f>
        <v>0.66666666666424135</v>
      </c>
      <c r="AL368" s="20">
        <f>IF(ISNUMBER(AK368),ABS(IF(SUM(AK368-ref!E$9)&gt;0,0,SUM(AK368-ref!E$9))),"")</f>
        <v>0</v>
      </c>
      <c r="AQ368"/>
    </row>
    <row r="369" spans="2:43" x14ac:dyDescent="0.25">
      <c r="B369" s="81">
        <v>9</v>
      </c>
      <c r="C369" s="88" t="s">
        <v>20</v>
      </c>
      <c r="D369" s="88"/>
      <c r="E369" s="154">
        <f t="shared" si="291"/>
        <v>44086</v>
      </c>
      <c r="F369" s="164" t="s">
        <v>20</v>
      </c>
      <c r="G369" s="155">
        <f t="shared" si="287"/>
        <v>44086.375</v>
      </c>
      <c r="H369" s="29">
        <v>0.375</v>
      </c>
      <c r="I369" s="23">
        <f t="shared" si="292"/>
        <v>4.166666666666663E-2</v>
      </c>
      <c r="J369" s="29">
        <v>0.70833333333333337</v>
      </c>
      <c r="K369" s="46">
        <f t="shared" si="288"/>
        <v>44086.708333333336</v>
      </c>
      <c r="L369" s="21">
        <f>IF(OR(F369="télétravail",F369="férié travaillé",F369="travail"),(J369-H369+IF(H369&gt;J369,1)-I369),INDEX(ref!$E$22:'ref'!$E$37,MATCH(F369,gerald3,0)))</f>
        <v>0.29166666666666674</v>
      </c>
      <c r="M369" s="13">
        <f>IF(SUM(L369-ref!E$8)&lt;0,0,SUM(L369-ref!E$8))</f>
        <v>0</v>
      </c>
      <c r="N369" s="252">
        <f>L369-(hs!D368+hs!F368+hs!H368+hs!J368)</f>
        <v>-4.166666666666663E-2</v>
      </c>
      <c r="O369" s="8">
        <f>IF(OR(F369="férié travaillé",F369="travail",F369="asa",F369="rtt"),J369-H369+IF(H369&gt;J369,1),INDEX(ref!$E$22:'ref'!$E$37,MATCH(F369,gerald2,0)))</f>
        <v>0.33333333333333337</v>
      </c>
      <c r="P369" s="14">
        <f>IF(SUM(O369-ref!E$4)&lt;0,0,SUM(O369-ref!E$4))</f>
        <v>0</v>
      </c>
      <c r="Q369" s="24">
        <f t="shared" si="293"/>
        <v>1.4583333333333337</v>
      </c>
      <c r="S369" s="137"/>
      <c r="T369" s="92">
        <v>0.52083333333333337</v>
      </c>
      <c r="U369" s="129">
        <v>0.5625</v>
      </c>
      <c r="V369" s="142">
        <f t="shared" si="289"/>
        <v>4.166666666666663E-2</v>
      </c>
      <c r="W369" s="141">
        <f>IF(V369="","",IF(SUM(V369-ref!E$38)&gt;0,0,IF(V369=0, "0:00", SUM(V369-ref!E$38))))</f>
        <v>0</v>
      </c>
      <c r="X369" s="137"/>
      <c r="Y369" s="92"/>
      <c r="Z369" s="247"/>
      <c r="AA369" s="142">
        <f t="shared" si="294"/>
        <v>0</v>
      </c>
      <c r="AB369" s="245" t="str">
        <f>IF(AA369="","",IF(SUM(AA369-ref!E$38)&gt;0,0,IF(AA369=0, "0:00", SUM(AA369-ref!E$38))))</f>
        <v>0:00</v>
      </c>
      <c r="AC369" s="29"/>
      <c r="AD369" s="106"/>
      <c r="AE369" s="117" t="s">
        <v>47</v>
      </c>
      <c r="AF369" s="77">
        <f t="shared" si="290"/>
        <v>1</v>
      </c>
      <c r="AG369" s="19"/>
      <c r="AH369" s="178" t="s">
        <v>75</v>
      </c>
      <c r="AI369" s="54" t="s">
        <v>68</v>
      </c>
      <c r="AJ369" s="177" t="s">
        <v>76</v>
      </c>
      <c r="AK369" s="55" t="str" cm="1">
        <f t="array" ref="AK369">IF(ISNUMBER(G370),G370-_xlfn.AGGREGATE(14,6,(K$4:K369&lt;G370)*K$4:K369,1),"")</f>
        <v/>
      </c>
      <c r="AL369" s="20" t="str">
        <f>IF(ISNUMBER(AK369),ABS(IF(SUM(AK369-ref!E$9)&gt;0,0,SUM(AK369-ref!E$9))),"")</f>
        <v/>
      </c>
      <c r="AQ369"/>
    </row>
    <row r="370" spans="2:43" ht="15.75" thickBot="1" x14ac:dyDescent="0.3">
      <c r="B370"/>
      <c r="C370" s="89"/>
      <c r="D370" s="89"/>
      <c r="E370" s="154">
        <f t="shared" si="291"/>
        <v>44087</v>
      </c>
      <c r="F370" s="164" t="s">
        <v>19</v>
      </c>
      <c r="G370" s="155" t="str">
        <f t="shared" si="287"/>
        <v/>
      </c>
      <c r="H370" s="29"/>
      <c r="I370" s="23">
        <f t="shared" si="292"/>
        <v>0</v>
      </c>
      <c r="J370" s="29"/>
      <c r="K370" s="46" t="str">
        <f t="shared" si="288"/>
        <v/>
      </c>
      <c r="L370" s="21">
        <f>IF(OR(F370="télétravail",F370="férié travaillé",F370="travail"),(J370-H370+IF(H370&gt;J370,1)-I370),INDEX(ref!$E$22:'ref'!$E$37,MATCH(F370,gerald3,0)))</f>
        <v>0</v>
      </c>
      <c r="M370" s="13">
        <f>IF(SUM(L370-ref!E$8)&lt;0,0,SUM(L370-ref!E$8))</f>
        <v>0</v>
      </c>
      <c r="N370" s="252">
        <f>L370-(hs!D369+hs!F369+hs!H369+hs!J369)</f>
        <v>0</v>
      </c>
      <c r="O370" s="8">
        <f>IF(OR(F370="férié travaillé",F370="travail",F370="asa",F370="rtt"),J370-H370+IF(H370&gt;J370,1),INDEX(ref!$E$22:'ref'!$E$37,MATCH(F370,gerald2,0)))</f>
        <v>0</v>
      </c>
      <c r="P370" s="14">
        <f>IF(SUM(O370-ref!E$4)&lt;0,0,SUM(O370-ref!E$4))</f>
        <v>0</v>
      </c>
      <c r="Q370" s="97">
        <f t="shared" si="293"/>
        <v>1.4583333333333337</v>
      </c>
      <c r="S370" s="137"/>
      <c r="T370" s="92"/>
      <c r="U370" s="129"/>
      <c r="V370" s="142">
        <f t="shared" si="289"/>
        <v>0</v>
      </c>
      <c r="W370" s="141" t="str">
        <f>IF(V370="","",IF(SUM(V370-ref!E$38)&gt;0,0,IF(V370=0, "0:00", SUM(V370-ref!E$38))))</f>
        <v>0:00</v>
      </c>
      <c r="X370" s="137"/>
      <c r="Y370" s="92"/>
      <c r="Z370" s="247"/>
      <c r="AA370" s="142">
        <f t="shared" si="294"/>
        <v>0</v>
      </c>
      <c r="AB370" s="245" t="str">
        <f>IF(AA370="","",IF(SUM(AA370-ref!E$38)&gt;0,0,IF(AA370=0, "0:00", SUM(AA370-ref!E$38))))</f>
        <v>0:00</v>
      </c>
      <c r="AC370" s="29"/>
      <c r="AD370" s="106"/>
      <c r="AE370" s="118">
        <f>ref!E$11</f>
        <v>2</v>
      </c>
      <c r="AF370" s="77">
        <f t="shared" si="290"/>
        <v>0</v>
      </c>
      <c r="AG370" s="19"/>
      <c r="AH370" s="178" t="s">
        <v>76</v>
      </c>
      <c r="AI370" s="54" t="s">
        <v>68</v>
      </c>
      <c r="AJ370" s="177" t="s">
        <v>77</v>
      </c>
      <c r="AK370" s="55" t="str" cm="1">
        <f t="array" ref="AK370">IF(ISNUMBER(G371),G371-_xlfn.AGGREGATE(14,6,(K$4:K370&lt;G371)*K$4:K370,1),"")</f>
        <v/>
      </c>
      <c r="AL370" s="20" t="str">
        <f>IF(ISNUMBER(AK370),ABS(IF(SUM(AK370-ref!E$9)&gt;0,0,SUM(AK370-ref!E$9))),"")</f>
        <v/>
      </c>
      <c r="AQ370"/>
    </row>
    <row r="371" spans="2:43" ht="15.75" thickBot="1" x14ac:dyDescent="0.3">
      <c r="B371"/>
      <c r="C371" s="89"/>
      <c r="D371" s="89"/>
      <c r="E371" s="154">
        <f t="shared" si="291"/>
        <v>44088</v>
      </c>
      <c r="F371" s="165" t="s">
        <v>19</v>
      </c>
      <c r="G371" s="155" t="str">
        <f t="shared" si="287"/>
        <v/>
      </c>
      <c r="H371" s="29"/>
      <c r="I371" s="23">
        <f t="shared" si="292"/>
        <v>0</v>
      </c>
      <c r="J371" s="29"/>
      <c r="K371" s="46" t="str">
        <f t="shared" si="288"/>
        <v/>
      </c>
      <c r="L371" s="21">
        <f>IF(OR(F371="télétravail",F371="férié travaillé",F371="travail"),(J371-H371+IF(H371&gt;J371,1)-I371),INDEX(ref!$E$22:'ref'!$E$37,MATCH(F371,gerald3,0)))</f>
        <v>0</v>
      </c>
      <c r="M371" s="13">
        <f>IF(SUM(L371-ref!E$8)&lt;0,0,SUM(L371-ref!E$8))</f>
        <v>0</v>
      </c>
      <c r="N371" s="252">
        <f>L371-(hs!D370+hs!F370+hs!H370+hs!J370)</f>
        <v>0</v>
      </c>
      <c r="O371" s="8">
        <f>IF(OR(F371="férié travaillé",F371="travail",F371="asa",F371="rtt"),J371-H371+IF(H371&gt;J371,1),INDEX(ref!$E$22:'ref'!$E$37,MATCH(F371,gerald2,0)))</f>
        <v>0</v>
      </c>
      <c r="P371" s="14">
        <f>IF(SUM(O371-ref!E$4)&lt;0,0,SUM(O371-ref!E$4))</f>
        <v>0</v>
      </c>
      <c r="Q371" s="94">
        <f t="shared" si="293"/>
        <v>1.4583333333333337</v>
      </c>
      <c r="S371" s="138"/>
      <c r="T371" s="92"/>
      <c r="U371" s="129"/>
      <c r="V371" s="142">
        <f t="shared" si="289"/>
        <v>0</v>
      </c>
      <c r="W371" s="141" t="str">
        <f>IF(V371="","",IF(SUM(V371-ref!E$38)&gt;0,0,IF(V371=0, "0:00", SUM(V371-ref!E$38))))</f>
        <v>0:00</v>
      </c>
      <c r="X371" s="138"/>
      <c r="Y371" s="92"/>
      <c r="Z371" s="247"/>
      <c r="AA371" s="142">
        <f t="shared" si="294"/>
        <v>0</v>
      </c>
      <c r="AB371" s="246" t="str">
        <f>IF(AA371="","",IF(SUM(AA371-ref!E$38)&gt;0,0,IF(AA371=0, "0:00", SUM(AA371-ref!E$38))))</f>
        <v>0:00</v>
      </c>
      <c r="AC371" s="29"/>
      <c r="AD371" s="106"/>
      <c r="AE371" s="110">
        <f>IF(SUM(Q371-ref!E$11)&lt;0,0,SUM(Q371-ref!E$11))</f>
        <v>0</v>
      </c>
      <c r="AF371" s="77">
        <f t="shared" si="290"/>
        <v>0</v>
      </c>
      <c r="AG371" s="19"/>
      <c r="AQ371"/>
    </row>
    <row r="372" spans="2:43" x14ac:dyDescent="0.25">
      <c r="C372" s="89"/>
      <c r="D372" s="89"/>
      <c r="X372" s="2"/>
      <c r="Z372"/>
      <c r="AA372" s="2"/>
      <c r="AB372" s="2"/>
      <c r="AC372" s="127"/>
      <c r="AQ372"/>
    </row>
    <row r="373" spans="2:43" x14ac:dyDescent="0.25">
      <c r="C373" s="89"/>
      <c r="D373" s="89"/>
      <c r="K373" s="70"/>
      <c r="X373" s="2"/>
      <c r="Y373" s="16"/>
      <c r="Z373"/>
      <c r="AA373" s="16"/>
      <c r="AB373" s="2"/>
      <c r="AC373" s="135"/>
      <c r="AQ373"/>
    </row>
    <row r="374" spans="2:43" ht="15.75" thickBot="1" x14ac:dyDescent="0.3">
      <c r="C374" s="89"/>
      <c r="D374" s="89"/>
      <c r="W374" s="74"/>
      <c r="X374" s="2"/>
      <c r="Z374"/>
      <c r="AA374" s="2"/>
      <c r="AB374" s="2"/>
      <c r="AC374" s="127"/>
      <c r="AQ374"/>
    </row>
    <row r="375" spans="2:43" x14ac:dyDescent="0.25">
      <c r="B375" s="78" t="s">
        <v>1</v>
      </c>
      <c r="C375" s="88" t="s">
        <v>20</v>
      </c>
      <c r="D375" s="88"/>
      <c r="E375" s="154">
        <f>DATE(ref!E$2,B379,B377)</f>
        <v>44089</v>
      </c>
      <c r="F375" s="163" t="s">
        <v>20</v>
      </c>
      <c r="G375" s="155">
        <f t="shared" ref="G375:G381" si="295">IF(AND(J375="",H375=""),"",E375+H375)</f>
        <v>44089.375</v>
      </c>
      <c r="H375" s="29">
        <v>0.375</v>
      </c>
      <c r="I375" s="23">
        <f>SUM(V375+AA375+AC375)</f>
        <v>4.166666666666663E-2</v>
      </c>
      <c r="J375" s="29">
        <v>0.70833333333333337</v>
      </c>
      <c r="K375" s="46">
        <f t="shared" ref="K375:K381" si="296">IF(AND(H375="",J375=""),"",E375+J375+(H375&gt;J375))</f>
        <v>44089.708333333336</v>
      </c>
      <c r="L375" s="21">
        <f>IF(OR(F375="télétravail",F375="férié travaillé",F375="travail"),(J375-H375+IF(H375&gt;J375,1)-I375),INDEX(ref!$E$22:'ref'!$E$37,MATCH(F375,gerald3,0)))</f>
        <v>0.29166666666666674</v>
      </c>
      <c r="M375" s="13">
        <f>IF(SUM(L375-ref!E$8)&lt;0,0,SUM(L375-ref!E$8))</f>
        <v>0</v>
      </c>
      <c r="N375" s="252">
        <f>L375-(hs!D374+hs!F374+hs!H374+hs!J374)</f>
        <v>-4.166666666666663E-2</v>
      </c>
      <c r="O375" s="8">
        <f>IF(OR(F375="férié travaillé",F375="travail",F375="asa",F375="rtt"),J375-H375+IF(H375&gt;J375,1),INDEX(ref!$E$22:'ref'!$E$37,MATCH(F375,gerald2,0)))</f>
        <v>0.33333333333333337</v>
      </c>
      <c r="P375" s="14">
        <f>IF(SUM(O375-ref!E$4)&lt;0,0,SUM(O375-ref!E$4))</f>
        <v>0</v>
      </c>
      <c r="Q375" s="21">
        <f>L375</f>
        <v>0.29166666666666674</v>
      </c>
      <c r="S375" s="136"/>
      <c r="T375" s="92">
        <v>0.52083333333333337</v>
      </c>
      <c r="U375" s="129">
        <v>0.5625</v>
      </c>
      <c r="V375" s="142">
        <f t="shared" ref="V375:V381" si="297">U375-T375</f>
        <v>4.166666666666663E-2</v>
      </c>
      <c r="W375" s="141">
        <f>IF(V375="","",IF(SUM(V375-ref!E$38)&gt;0,0,IF(V375=0, "0:00", SUM(V375-ref!E$38))))</f>
        <v>0</v>
      </c>
      <c r="X375" s="136"/>
      <c r="Y375" s="92"/>
      <c r="Z375" s="247"/>
      <c r="AA375" s="142">
        <f>Z375-Y375</f>
        <v>0</v>
      </c>
      <c r="AB375" s="244" t="str">
        <f>IF(AA375="","",IF(SUM(AA375-ref!E$38)&gt;0,0,IF(AA375=0, "0:00", SUM(AA375-ref!E$38))))</f>
        <v>0:00</v>
      </c>
      <c r="AC375" s="29"/>
      <c r="AD375" s="106"/>
      <c r="AE375" s="111">
        <f>SUM(AF375:AF381)</f>
        <v>5</v>
      </c>
      <c r="AF375" s="77">
        <f t="shared" ref="AF375:AF381" si="298">IF(AND(H375&lt;&gt;"",J375&lt;&gt;""),1,0+OR(N(J374)&lt;N(H374),F375="récupération",F375="congé 1 jour",F375="congé 1/2 jour ",F375="congé 5h24",F375="arrêt maladie",F375="arrêt travail",F375="férié ",F375="congé parentale",F375="congé de naissance"))</f>
        <v>1</v>
      </c>
      <c r="AG375" s="19"/>
      <c r="AH375" s="176" t="s">
        <v>71</v>
      </c>
      <c r="AI375" s="54" t="s">
        <v>68</v>
      </c>
      <c r="AJ375" s="177" t="s">
        <v>72</v>
      </c>
      <c r="AK375" s="55" cm="1">
        <f t="array" ref="AK375">IF(ISNUMBER(G376),G376-_xlfn.AGGREGATE(14,6,(K$4:K375&lt;G376)*K$4:K375,1),"")</f>
        <v>0.66666666666424135</v>
      </c>
      <c r="AL375" s="20">
        <f>IF(ISNUMBER(AK375),ABS(IF(SUM(AK375-ref!E$9)&gt;0,0,SUM(AK375-ref!E$9))),"")</f>
        <v>0</v>
      </c>
      <c r="AQ375"/>
    </row>
    <row r="376" spans="2:43" x14ac:dyDescent="0.25">
      <c r="B376" s="79" t="s">
        <v>1</v>
      </c>
      <c r="C376" s="88" t="s">
        <v>20</v>
      </c>
      <c r="D376" s="88"/>
      <c r="E376" s="154">
        <f t="shared" ref="E376:E381" si="299">E375+1</f>
        <v>44090</v>
      </c>
      <c r="F376" s="164" t="s">
        <v>20</v>
      </c>
      <c r="G376" s="155">
        <f t="shared" si="295"/>
        <v>44090.375</v>
      </c>
      <c r="H376" s="29">
        <v>0.375</v>
      </c>
      <c r="I376" s="23">
        <f t="shared" ref="I376:I381" si="300">SUM(V376+AA376+AC376)</f>
        <v>4.166666666666663E-2</v>
      </c>
      <c r="J376" s="29">
        <v>0.70833333333333337</v>
      </c>
      <c r="K376" s="46">
        <f t="shared" si="296"/>
        <v>44090.708333333336</v>
      </c>
      <c r="L376" s="21">
        <f>IF(OR(F376="télétravail",F376="férié travaillé",F376="travail"),(J376-H376+IF(H376&gt;J376,1)-I376),INDEX(ref!$E$22:'ref'!$E$37,MATCH(F376,gerald3,0)))</f>
        <v>0.29166666666666674</v>
      </c>
      <c r="M376" s="13">
        <f>IF(SUM(L376-ref!E$8)&lt;0,0,SUM(L376-ref!E$8))</f>
        <v>0</v>
      </c>
      <c r="N376" s="252">
        <f>L376-(hs!D375+hs!F375+hs!H375+hs!J375)</f>
        <v>-4.166666666666663E-2</v>
      </c>
      <c r="O376" s="8">
        <f>IF(OR(F376="férié travaillé",F376="travail",F376="asa",F376="rtt"),J376-H376+IF(H376&gt;J376,1),INDEX(ref!$E$22:'ref'!$E$37,MATCH(F376,gerald2,0)))</f>
        <v>0.33333333333333337</v>
      </c>
      <c r="P376" s="14">
        <f>IF(SUM(O376-ref!E$4)&lt;0,0,SUM(O376-ref!E$4))</f>
        <v>0</v>
      </c>
      <c r="Q376" s="24">
        <f t="shared" ref="Q376:Q381" si="301">Q375+L376</f>
        <v>0.58333333333333348</v>
      </c>
      <c r="S376" s="137"/>
      <c r="T376" s="92">
        <v>0.52083333333333337</v>
      </c>
      <c r="U376" s="129">
        <v>0.5625</v>
      </c>
      <c r="V376" s="142">
        <f t="shared" si="297"/>
        <v>4.166666666666663E-2</v>
      </c>
      <c r="W376" s="141">
        <f>IF(V376="","",IF(SUM(V376-ref!E$38)&gt;0,0,IF(V376=0, "0:00", SUM(V376-ref!E$38))))</f>
        <v>0</v>
      </c>
      <c r="X376" s="137"/>
      <c r="Y376" s="92"/>
      <c r="Z376" s="247"/>
      <c r="AA376" s="142">
        <f t="shared" ref="AA376:AA381" si="302">Z376-Y376</f>
        <v>0</v>
      </c>
      <c r="AB376" s="245" t="str">
        <f>IF(AA376="","",IF(SUM(AA376-ref!E$38)&gt;0,0,IF(AA376=0, "0:00", SUM(AA376-ref!E$38))))</f>
        <v>0:00</v>
      </c>
      <c r="AC376" s="29"/>
      <c r="AD376" s="106"/>
      <c r="AE376" s="112">
        <f>IF(SUM(AE375-ref!E$7)&lt;0,0,SUM(AE375-ref!E$7))</f>
        <v>0</v>
      </c>
      <c r="AF376" s="77">
        <f t="shared" si="298"/>
        <v>1</v>
      </c>
      <c r="AG376" s="19"/>
      <c r="AH376" s="178" t="s">
        <v>72</v>
      </c>
      <c r="AI376" s="54" t="s">
        <v>68</v>
      </c>
      <c r="AJ376" s="177" t="s">
        <v>73</v>
      </c>
      <c r="AK376" s="55" cm="1">
        <f t="array" ref="AK376">IF(ISNUMBER(G377),G377-_xlfn.AGGREGATE(14,6,(K$4:K376&lt;G377)*K$4:K376,1),"")</f>
        <v>0.66666666666424135</v>
      </c>
      <c r="AL376" s="20">
        <f>IF(ISNUMBER(AK376),ABS(IF(SUM(AK376-ref!E$9)&gt;0,0,SUM(AK376-ref!E$9))),"")</f>
        <v>0</v>
      </c>
      <c r="AQ376"/>
    </row>
    <row r="377" spans="2:43" x14ac:dyDescent="0.25">
      <c r="B377" s="80">
        <v>16</v>
      </c>
      <c r="C377" s="88" t="s">
        <v>20</v>
      </c>
      <c r="D377" s="88"/>
      <c r="E377" s="154">
        <f t="shared" si="299"/>
        <v>44091</v>
      </c>
      <c r="F377" s="164" t="s">
        <v>20</v>
      </c>
      <c r="G377" s="155">
        <f t="shared" si="295"/>
        <v>44091.375</v>
      </c>
      <c r="H377" s="29">
        <v>0.375</v>
      </c>
      <c r="I377" s="23">
        <f t="shared" si="300"/>
        <v>4.166666666666663E-2</v>
      </c>
      <c r="J377" s="29">
        <v>0.70833333333333337</v>
      </c>
      <c r="K377" s="46">
        <f t="shared" si="296"/>
        <v>44091.708333333336</v>
      </c>
      <c r="L377" s="21">
        <f>IF(OR(F377="télétravail",F377="férié travaillé",F377="travail"),(J377-H377+IF(H377&gt;J377,1)-I377),INDEX(ref!$E$22:'ref'!$E$37,MATCH(F377,gerald3,0)))</f>
        <v>0.29166666666666674</v>
      </c>
      <c r="M377" s="13">
        <f>IF(SUM(L377-ref!E$8)&lt;0,0,SUM(L377-ref!E$8))</f>
        <v>0</v>
      </c>
      <c r="N377" s="252">
        <f>L377-(hs!D376+hs!F376+hs!H376+hs!J376)</f>
        <v>-4.166666666666663E-2</v>
      </c>
      <c r="O377" s="8">
        <f>IF(OR(F377="férié travaillé",F377="travail",F377="asa",F377="rtt"),J377-H377+IF(H377&gt;J377,1),INDEX(ref!$E$22:'ref'!$E$37,MATCH(F377,gerald2,0)))</f>
        <v>0.33333333333333337</v>
      </c>
      <c r="P377" s="14">
        <f>IF(SUM(O377-ref!E$4)&lt;0,0,SUM(O377-ref!E$4))</f>
        <v>0</v>
      </c>
      <c r="Q377" s="24">
        <f t="shared" si="301"/>
        <v>0.87500000000000022</v>
      </c>
      <c r="S377" s="137"/>
      <c r="T377" s="92">
        <v>0.52083333333333337</v>
      </c>
      <c r="U377" s="129">
        <v>0.5625</v>
      </c>
      <c r="V377" s="142">
        <f t="shared" si="297"/>
        <v>4.166666666666663E-2</v>
      </c>
      <c r="W377" s="141">
        <f>IF(V377="","",IF(SUM(V377-ref!E$38)&gt;0,0,IF(V377=0, "0:00", SUM(V377-ref!E$38))))</f>
        <v>0</v>
      </c>
      <c r="X377" s="137"/>
      <c r="Y377" s="92"/>
      <c r="Z377" s="247"/>
      <c r="AA377" s="142">
        <f t="shared" si="302"/>
        <v>0</v>
      </c>
      <c r="AB377" s="245" t="str">
        <f>IF(AA377="","",IF(SUM(AA377-ref!E$38)&gt;0,0,IF(AA377=0, "0:00", SUM(AA377-ref!E$38))))</f>
        <v>0:00</v>
      </c>
      <c r="AC377" s="29"/>
      <c r="AD377" s="106"/>
      <c r="AE377" s="117" t="s">
        <v>29</v>
      </c>
      <c r="AF377" s="77">
        <f t="shared" si="298"/>
        <v>1</v>
      </c>
      <c r="AG377" s="19"/>
      <c r="AH377" s="178" t="s">
        <v>73</v>
      </c>
      <c r="AI377" s="54" t="s">
        <v>68</v>
      </c>
      <c r="AJ377" s="177" t="s">
        <v>74</v>
      </c>
      <c r="AK377" s="55" cm="1">
        <f t="array" ref="AK377">IF(ISNUMBER(G378),G378-_xlfn.AGGREGATE(14,6,(K$4:K377&lt;G378)*K$4:K377,1),"")</f>
        <v>0.66666666666424135</v>
      </c>
      <c r="AL377" s="20">
        <f>IF(ISNUMBER(AK377),ABS(IF(SUM(AK377-ref!E$9)&gt;0,0,SUM(AK377-ref!E$9))),"")</f>
        <v>0</v>
      </c>
      <c r="AQ377"/>
    </row>
    <row r="378" spans="2:43" x14ac:dyDescent="0.25">
      <c r="B378" s="79" t="s">
        <v>58</v>
      </c>
      <c r="C378" s="88" t="s">
        <v>20</v>
      </c>
      <c r="D378" s="88"/>
      <c r="E378" s="154">
        <f t="shared" si="299"/>
        <v>44092</v>
      </c>
      <c r="F378" s="164" t="s">
        <v>20</v>
      </c>
      <c r="G378" s="155">
        <f t="shared" si="295"/>
        <v>44092.375</v>
      </c>
      <c r="H378" s="29">
        <v>0.375</v>
      </c>
      <c r="I378" s="23">
        <f t="shared" si="300"/>
        <v>4.166666666666663E-2</v>
      </c>
      <c r="J378" s="29">
        <v>0.70833333333333337</v>
      </c>
      <c r="K378" s="46">
        <f t="shared" si="296"/>
        <v>44092.708333333336</v>
      </c>
      <c r="L378" s="21">
        <f>IF(OR(F378="télétravail",F378="férié travaillé",F378="travail"),(J378-H378+IF(H378&gt;J378,1)-I378),INDEX(ref!$E$22:'ref'!$E$37,MATCH(F378,gerald3,0)))</f>
        <v>0.29166666666666674</v>
      </c>
      <c r="M378" s="13">
        <f>IF(SUM(L378-ref!E$8)&lt;0,0,SUM(L378-ref!E$8))</f>
        <v>0</v>
      </c>
      <c r="N378" s="252">
        <f>L378-(hs!D377+hs!F377+hs!H377+hs!J377)</f>
        <v>-4.166666666666663E-2</v>
      </c>
      <c r="O378" s="8">
        <f>IF(OR(F378="férié travaillé",F378="travail",F378="asa",F378="rtt"),J378-H378+IF(H378&gt;J378,1),INDEX(ref!$E$22:'ref'!$E$37,MATCH(F378,gerald2,0)))</f>
        <v>0.33333333333333337</v>
      </c>
      <c r="P378" s="14">
        <f>IF(SUM(O378-ref!E$4)&lt;0,0,SUM(O378-ref!E$4))</f>
        <v>0</v>
      </c>
      <c r="Q378" s="24">
        <f t="shared" si="301"/>
        <v>1.166666666666667</v>
      </c>
      <c r="S378" s="137"/>
      <c r="T378" s="92">
        <v>0.52083333333333337</v>
      </c>
      <c r="U378" s="129">
        <v>0.5625</v>
      </c>
      <c r="V378" s="142">
        <f t="shared" si="297"/>
        <v>4.166666666666663E-2</v>
      </c>
      <c r="W378" s="141">
        <f>IF(V378="","",IF(SUM(V378-ref!E$38)&gt;0,0,IF(V378=0, "0:00", SUM(V378-ref!E$38))))</f>
        <v>0</v>
      </c>
      <c r="X378" s="137"/>
      <c r="Y378" s="92"/>
      <c r="Z378" s="247"/>
      <c r="AA378" s="142">
        <f t="shared" si="302"/>
        <v>0</v>
      </c>
      <c r="AB378" s="245" t="str">
        <f>IF(AA378="","",IF(SUM(AA378-ref!E$38)&gt;0,0,IF(AA378=0, "0:00", SUM(AA378-ref!E$38))))</f>
        <v>0:00</v>
      </c>
      <c r="AC378" s="29"/>
      <c r="AD378" s="106"/>
      <c r="AE378" s="114">
        <f>Q381</f>
        <v>1.4583333333333337</v>
      </c>
      <c r="AF378" s="77">
        <f t="shared" si="298"/>
        <v>1</v>
      </c>
      <c r="AG378" s="19"/>
      <c r="AH378" s="178" t="s">
        <v>74</v>
      </c>
      <c r="AI378" s="54" t="s">
        <v>68</v>
      </c>
      <c r="AJ378" s="177" t="s">
        <v>75</v>
      </c>
      <c r="AK378" s="55" cm="1">
        <f t="array" ref="AK378">IF(ISNUMBER(G379),G379-_xlfn.AGGREGATE(14,6,(K$4:K378&lt;G379)*K$4:K378,1),"")</f>
        <v>0.66666666666424135</v>
      </c>
      <c r="AL378" s="20">
        <f>IF(ISNUMBER(AK378),ABS(IF(SUM(AK378-ref!E$9)&gt;0,0,SUM(AK378-ref!E$9))),"")</f>
        <v>0</v>
      </c>
      <c r="AQ378"/>
    </row>
    <row r="379" spans="2:43" x14ac:dyDescent="0.25">
      <c r="B379" s="81">
        <v>9</v>
      </c>
      <c r="C379" s="88" t="s">
        <v>20</v>
      </c>
      <c r="D379" s="88"/>
      <c r="E379" s="154">
        <f t="shared" si="299"/>
        <v>44093</v>
      </c>
      <c r="F379" s="164" t="s">
        <v>20</v>
      </c>
      <c r="G379" s="155">
        <f t="shared" si="295"/>
        <v>44093.375</v>
      </c>
      <c r="H379" s="29">
        <v>0.375</v>
      </c>
      <c r="I379" s="23">
        <f t="shared" si="300"/>
        <v>4.166666666666663E-2</v>
      </c>
      <c r="J379" s="29">
        <v>0.70833333333333337</v>
      </c>
      <c r="K379" s="46">
        <f t="shared" si="296"/>
        <v>44093.708333333336</v>
      </c>
      <c r="L379" s="21">
        <f>IF(OR(F379="télétravail",F379="férié travaillé",F379="travail"),(J379-H379+IF(H379&gt;J379,1)-I379),INDEX(ref!$E$22:'ref'!$E$37,MATCH(F379,gerald3,0)))</f>
        <v>0.29166666666666674</v>
      </c>
      <c r="M379" s="13">
        <f>IF(SUM(L379-ref!E$8)&lt;0,0,SUM(L379-ref!E$8))</f>
        <v>0</v>
      </c>
      <c r="N379" s="252">
        <f>L379-(hs!D378+hs!F378+hs!H378+hs!J378)</f>
        <v>-4.166666666666663E-2</v>
      </c>
      <c r="O379" s="8">
        <f>IF(OR(F379="férié travaillé",F379="travail",F379="asa",F379="rtt"),J379-H379+IF(H379&gt;J379,1),INDEX(ref!$E$22:'ref'!$E$37,MATCH(F379,gerald2,0)))</f>
        <v>0.33333333333333337</v>
      </c>
      <c r="P379" s="14">
        <f>IF(SUM(O379-ref!E$4)&lt;0,0,SUM(O379-ref!E$4))</f>
        <v>0</v>
      </c>
      <c r="Q379" s="24">
        <f t="shared" si="301"/>
        <v>1.4583333333333337</v>
      </c>
      <c r="S379" s="137"/>
      <c r="T379" s="92">
        <v>0.52083333333333337</v>
      </c>
      <c r="U379" s="129">
        <v>0.5625</v>
      </c>
      <c r="V379" s="142">
        <f t="shared" si="297"/>
        <v>4.166666666666663E-2</v>
      </c>
      <c r="W379" s="141">
        <f>IF(V379="","",IF(SUM(V379-ref!E$38)&gt;0,0,IF(V379=0, "0:00", SUM(V379-ref!E$38))))</f>
        <v>0</v>
      </c>
      <c r="X379" s="137"/>
      <c r="Y379" s="92"/>
      <c r="Z379" s="247"/>
      <c r="AA379" s="142">
        <f t="shared" si="302"/>
        <v>0</v>
      </c>
      <c r="AB379" s="245" t="str">
        <f>IF(AA379="","",IF(SUM(AA379-ref!E$38)&gt;0,0,IF(AA379=0, "0:00", SUM(AA379-ref!E$38))))</f>
        <v>0:00</v>
      </c>
      <c r="AC379" s="29"/>
      <c r="AD379" s="106"/>
      <c r="AE379" s="117" t="s">
        <v>47</v>
      </c>
      <c r="AF379" s="77">
        <f t="shared" si="298"/>
        <v>1</v>
      </c>
      <c r="AG379" s="19"/>
      <c r="AH379" s="178" t="s">
        <v>75</v>
      </c>
      <c r="AI379" s="54" t="s">
        <v>68</v>
      </c>
      <c r="AJ379" s="177" t="s">
        <v>76</v>
      </c>
      <c r="AK379" s="55" t="str" cm="1">
        <f t="array" ref="AK379">IF(ISNUMBER(G380),G380-_xlfn.AGGREGATE(14,6,(K$4:K379&lt;G380)*K$4:K379,1),"")</f>
        <v/>
      </c>
      <c r="AL379" s="20" t="str">
        <f>IF(ISNUMBER(AK379),ABS(IF(SUM(AK379-ref!E$9)&gt;0,0,SUM(AK379-ref!E$9))),"")</f>
        <v/>
      </c>
      <c r="AQ379"/>
    </row>
    <row r="380" spans="2:43" ht="15.75" thickBot="1" x14ac:dyDescent="0.3">
      <c r="B380"/>
      <c r="C380" s="89"/>
      <c r="D380" s="89"/>
      <c r="E380" s="154">
        <f t="shared" si="299"/>
        <v>44094</v>
      </c>
      <c r="F380" s="164" t="s">
        <v>19</v>
      </c>
      <c r="G380" s="155" t="str">
        <f t="shared" si="295"/>
        <v/>
      </c>
      <c r="H380" s="29"/>
      <c r="I380" s="23">
        <f t="shared" si="300"/>
        <v>0</v>
      </c>
      <c r="J380" s="29"/>
      <c r="K380" s="46" t="str">
        <f t="shared" si="296"/>
        <v/>
      </c>
      <c r="L380" s="21">
        <f>IF(OR(F380="télétravail",F380="férié travaillé",F380="travail"),(J380-H380+IF(H380&gt;J380,1)-I380),INDEX(ref!$E$22:'ref'!$E$37,MATCH(F380,gerald3,0)))</f>
        <v>0</v>
      </c>
      <c r="M380" s="13">
        <f>IF(SUM(L380-ref!E$8)&lt;0,0,SUM(L380-ref!E$8))</f>
        <v>0</v>
      </c>
      <c r="N380" s="252">
        <f>L380-(hs!D379+hs!F379+hs!H379+hs!J379)</f>
        <v>0</v>
      </c>
      <c r="O380" s="8">
        <f>IF(OR(F380="férié travaillé",F380="travail",F380="asa",F380="rtt"),J380-H380+IF(H380&gt;J380,1),INDEX(ref!$E$22:'ref'!$E$37,MATCH(F380,gerald2,0)))</f>
        <v>0</v>
      </c>
      <c r="P380" s="14">
        <f>IF(SUM(O380-ref!E$4)&lt;0,0,SUM(O380-ref!E$4))</f>
        <v>0</v>
      </c>
      <c r="Q380" s="93">
        <f t="shared" si="301"/>
        <v>1.4583333333333337</v>
      </c>
      <c r="S380" s="137"/>
      <c r="T380" s="92"/>
      <c r="U380" s="129"/>
      <c r="V380" s="142">
        <f t="shared" si="297"/>
        <v>0</v>
      </c>
      <c r="W380" s="141" t="str">
        <f>IF(V380="","",IF(SUM(V380-ref!E$38)&gt;0,0,IF(V380=0, "0:00", SUM(V380-ref!E$38))))</f>
        <v>0:00</v>
      </c>
      <c r="X380" s="137"/>
      <c r="Y380" s="92"/>
      <c r="Z380" s="247"/>
      <c r="AA380" s="142">
        <f t="shared" si="302"/>
        <v>0</v>
      </c>
      <c r="AB380" s="245" t="str">
        <f>IF(AA380="","",IF(SUM(AA380-ref!E$38)&gt;0,0,IF(AA380=0, "0:00", SUM(AA380-ref!E$38))))</f>
        <v>0:00</v>
      </c>
      <c r="AC380" s="29"/>
      <c r="AD380" s="106"/>
      <c r="AE380" s="114">
        <f>ref!E$11</f>
        <v>2</v>
      </c>
      <c r="AF380" s="77">
        <f t="shared" si="298"/>
        <v>0</v>
      </c>
      <c r="AG380" s="19"/>
      <c r="AH380" s="178" t="s">
        <v>76</v>
      </c>
      <c r="AI380" s="54" t="s">
        <v>68</v>
      </c>
      <c r="AJ380" s="177" t="s">
        <v>77</v>
      </c>
      <c r="AK380" s="55" t="str" cm="1">
        <f t="array" ref="AK380">IF(ISNUMBER(G381),G381-_xlfn.AGGREGATE(14,6,(K$4:K380&lt;G381)*K$4:K380,1),"")</f>
        <v/>
      </c>
      <c r="AL380" s="20" t="str">
        <f>IF(ISNUMBER(AK380),ABS(IF(SUM(AK380-ref!E$9)&gt;0,0,SUM(AK380-ref!E$9))),"")</f>
        <v/>
      </c>
      <c r="AQ380"/>
    </row>
    <row r="381" spans="2:43" ht="15.75" thickBot="1" x14ac:dyDescent="0.3">
      <c r="B381"/>
      <c r="C381" s="89"/>
      <c r="D381" s="89"/>
      <c r="E381" s="154">
        <f t="shared" si="299"/>
        <v>44095</v>
      </c>
      <c r="F381" s="165" t="s">
        <v>19</v>
      </c>
      <c r="G381" s="155" t="str">
        <f t="shared" si="295"/>
        <v/>
      </c>
      <c r="H381" s="29"/>
      <c r="I381" s="23">
        <f t="shared" si="300"/>
        <v>0</v>
      </c>
      <c r="J381" s="29"/>
      <c r="K381" s="46" t="str">
        <f t="shared" si="296"/>
        <v/>
      </c>
      <c r="L381" s="21">
        <f>IF(OR(F381="télétravail",F381="férié travaillé",F381="travail"),(J381-H381+IF(H381&gt;J381,1)-I381),INDEX(ref!$E$22:'ref'!$E$37,MATCH(F381,gerald3,0)))</f>
        <v>0</v>
      </c>
      <c r="M381" s="13">
        <f>IF(SUM(L381-ref!E$8)&lt;0,0,SUM(L381-ref!E$8))</f>
        <v>0</v>
      </c>
      <c r="N381" s="252">
        <f>L381-(hs!D380+hs!F380+hs!H380+hs!J380)</f>
        <v>0</v>
      </c>
      <c r="O381" s="8">
        <f>IF(OR(F381="férié travaillé",F381="travail",F381="asa",F381="rtt"),J381-H381+IF(H381&gt;J381,1),INDEX(ref!$E$22:'ref'!$E$37,MATCH(F381,gerald2,0)))</f>
        <v>0</v>
      </c>
      <c r="P381" s="14">
        <f>IF(SUM(O381-ref!E$4)&lt;0,0,SUM(O381-ref!E$4))</f>
        <v>0</v>
      </c>
      <c r="Q381" s="94">
        <f t="shared" si="301"/>
        <v>1.4583333333333337</v>
      </c>
      <c r="S381" s="138"/>
      <c r="T381" s="92"/>
      <c r="U381" s="129"/>
      <c r="V381" s="142">
        <f t="shared" si="297"/>
        <v>0</v>
      </c>
      <c r="W381" s="141" t="str">
        <f>IF(V381="","",IF(SUM(V381-ref!E$38)&gt;0,0,IF(V381=0, "0:00", SUM(V381-ref!E$38))))</f>
        <v>0:00</v>
      </c>
      <c r="X381" s="138"/>
      <c r="Y381" s="92"/>
      <c r="Z381" s="247"/>
      <c r="AA381" s="142">
        <f t="shared" si="302"/>
        <v>0</v>
      </c>
      <c r="AB381" s="246" t="str">
        <f>IF(AA381="","",IF(SUM(AA381-ref!E$38)&gt;0,0,IF(AA381=0, "0:00", SUM(AA381-ref!E$38))))</f>
        <v>0:00</v>
      </c>
      <c r="AC381" s="29"/>
      <c r="AD381" s="106"/>
      <c r="AE381" s="110">
        <f>IF(SUM(Q381-ref!E$11)&lt;0,0,SUM(Q381-ref!E$11))</f>
        <v>0</v>
      </c>
      <c r="AF381" s="77">
        <f t="shared" si="298"/>
        <v>0</v>
      </c>
      <c r="AG381" s="19"/>
      <c r="AQ381"/>
    </row>
    <row r="382" spans="2:43" x14ac:dyDescent="0.25">
      <c r="C382" s="89"/>
      <c r="D382" s="89"/>
      <c r="W382" s="74"/>
      <c r="X382" s="2"/>
      <c r="Z382"/>
      <c r="AA382" s="2"/>
      <c r="AB382" s="2"/>
      <c r="AC382" s="127"/>
      <c r="AQ382"/>
    </row>
    <row r="383" spans="2:43" x14ac:dyDescent="0.25">
      <c r="C383" s="89"/>
      <c r="D383" s="89"/>
      <c r="J383" s="65"/>
      <c r="X383" s="2"/>
      <c r="Z383"/>
      <c r="AA383" s="2"/>
      <c r="AB383" s="2"/>
      <c r="AC383" s="127"/>
      <c r="AQ383"/>
    </row>
    <row r="384" spans="2:43" ht="15.75" thickBot="1" x14ac:dyDescent="0.3">
      <c r="C384" s="89"/>
      <c r="D384" s="89"/>
      <c r="W384" s="74"/>
      <c r="X384" s="2"/>
      <c r="Z384"/>
      <c r="AA384" s="2"/>
      <c r="AB384" s="2"/>
      <c r="AC384" s="127"/>
      <c r="AQ384"/>
    </row>
    <row r="385" spans="2:43" x14ac:dyDescent="0.25">
      <c r="B385" s="78" t="s">
        <v>1</v>
      </c>
      <c r="C385" s="88" t="s">
        <v>20</v>
      </c>
      <c r="D385" s="88"/>
      <c r="E385" s="154">
        <f>DATE(ref!E$2,B389,B387)</f>
        <v>44096</v>
      </c>
      <c r="F385" s="163" t="s">
        <v>20</v>
      </c>
      <c r="G385" s="155">
        <f t="shared" ref="G385:G391" si="303">IF(AND(J385="",H385=""),"",E385+H385)</f>
        <v>44096.375</v>
      </c>
      <c r="H385" s="29">
        <v>0.375</v>
      </c>
      <c r="I385" s="23">
        <f>SUM(V385+AA385+AC385)</f>
        <v>4.166666666666663E-2</v>
      </c>
      <c r="J385" s="29">
        <v>0.70833333333333337</v>
      </c>
      <c r="K385" s="46">
        <f t="shared" ref="K385:K391" si="304">IF(AND(H385="",J385=""),"",E385+J385+(H385&gt;J385))</f>
        <v>44096.708333333336</v>
      </c>
      <c r="L385" s="21">
        <f>IF(OR(F385="télétravail",F385="férié travaillé",F385="travail"),(J385-H385+IF(H385&gt;J385,1)-I385),INDEX(ref!$E$22:'ref'!$E$37,MATCH(F385,gerald3,0)))</f>
        <v>0.29166666666666674</v>
      </c>
      <c r="M385" s="13">
        <f>IF(SUM(L385-ref!E$8)&lt;0,0,SUM(L385-ref!E$8))</f>
        <v>0</v>
      </c>
      <c r="N385" s="252">
        <f>L385-(hs!D384+hs!F384+hs!H384+hs!J384)</f>
        <v>-4.166666666666663E-2</v>
      </c>
      <c r="O385" s="8">
        <f>IF(OR(F385="férié travaillé",F385="travail",F385="asa",F385="rtt"),J385-H385+IF(H385&gt;J385,1),INDEX(ref!$E$22:'ref'!$E$37,MATCH(F385,gerald2,0)))</f>
        <v>0.33333333333333337</v>
      </c>
      <c r="P385" s="14">
        <f>IF(SUM(O385-ref!E$4)&lt;0,0,SUM(O385-ref!E$4))</f>
        <v>0</v>
      </c>
      <c r="Q385" s="166">
        <f>L385</f>
        <v>0.29166666666666674</v>
      </c>
      <c r="S385" s="136"/>
      <c r="T385" s="92">
        <v>0.52083333333333337</v>
      </c>
      <c r="U385" s="129">
        <v>0.5625</v>
      </c>
      <c r="V385" s="142">
        <f t="shared" ref="V385:V391" si="305">U385-T385</f>
        <v>4.166666666666663E-2</v>
      </c>
      <c r="W385" s="141">
        <f>IF(V385="","",IF(SUM(V385-ref!E$38)&gt;0,0,IF(V385=0, "0:00", SUM(V385-ref!E$38))))</f>
        <v>0</v>
      </c>
      <c r="X385" s="136"/>
      <c r="Y385" s="92"/>
      <c r="Z385" s="247"/>
      <c r="AA385" s="142">
        <f>Z385-Y385</f>
        <v>0</v>
      </c>
      <c r="AB385" s="244" t="str">
        <f>IF(AA385="","",IF(SUM(AA385-ref!E$38)&gt;0,0,IF(AA385=0, "0:00", SUM(AA385-ref!E$38))))</f>
        <v>0:00</v>
      </c>
      <c r="AC385" s="29"/>
      <c r="AD385" s="106"/>
      <c r="AE385" s="111">
        <f>SUM(AF385:AF391)</f>
        <v>5</v>
      </c>
      <c r="AF385" s="77">
        <f t="shared" ref="AF385:AF391" si="306">IF(AND(H385&lt;&gt;"",J385&lt;&gt;""),1,0+OR(N(J384)&lt;N(H384),F385="récupération",F385="congé 1 jour",F385="congé 1/2 jour ",F385="congé 5h24",F385="arrêt maladie",F385="arrêt travail",F385="férié ",F385="congé parentale",F385="congé de naissance"))</f>
        <v>1</v>
      </c>
      <c r="AG385" s="19"/>
      <c r="AH385" s="176" t="s">
        <v>71</v>
      </c>
      <c r="AI385" s="54" t="s">
        <v>68</v>
      </c>
      <c r="AJ385" s="177" t="s">
        <v>72</v>
      </c>
      <c r="AK385" s="55" cm="1">
        <f t="array" ref="AK385">IF(ISNUMBER(G386),G386-_xlfn.AGGREGATE(14,6,(K$4:K385&lt;G386)*K$4:K385,1),"")</f>
        <v>0.66666666666424135</v>
      </c>
      <c r="AL385" s="20">
        <f>IF(ISNUMBER(AK385),ABS(IF(SUM(AK385-ref!E$9)&gt;0,0,SUM(AK385-ref!E$9))),"")</f>
        <v>0</v>
      </c>
      <c r="AQ385"/>
    </row>
    <row r="386" spans="2:43" x14ac:dyDescent="0.25">
      <c r="B386" s="79" t="s">
        <v>1</v>
      </c>
      <c r="C386" s="88" t="s">
        <v>20</v>
      </c>
      <c r="D386" s="88"/>
      <c r="E386" s="154">
        <f t="shared" ref="E386:E391" si="307">E385+1</f>
        <v>44097</v>
      </c>
      <c r="F386" s="164" t="s">
        <v>20</v>
      </c>
      <c r="G386" s="155">
        <f t="shared" si="303"/>
        <v>44097.375</v>
      </c>
      <c r="H386" s="29">
        <v>0.375</v>
      </c>
      <c r="I386" s="23">
        <f t="shared" ref="I386:I391" si="308">SUM(V386+AA386+AC386)</f>
        <v>4.166666666666663E-2</v>
      </c>
      <c r="J386" s="29">
        <v>0.70833333333333337</v>
      </c>
      <c r="K386" s="46">
        <f t="shared" si="304"/>
        <v>44097.708333333336</v>
      </c>
      <c r="L386" s="21">
        <f>IF(OR(F386="télétravail",F386="férié travaillé",F386="travail"),(J386-H386+IF(H386&gt;J386,1)-I386),INDEX(ref!$E$22:'ref'!$E$37,MATCH(F386,gerald3,0)))</f>
        <v>0.29166666666666674</v>
      </c>
      <c r="M386" s="13">
        <f>IF(SUM(L386-ref!E$8)&lt;0,0,SUM(L386-ref!E$8))</f>
        <v>0</v>
      </c>
      <c r="N386" s="252">
        <f>L386-(hs!D385+hs!F385+hs!H385+hs!J385)</f>
        <v>-4.166666666666663E-2</v>
      </c>
      <c r="O386" s="8">
        <f>IF(OR(F386="férié travaillé",F386="travail",F386="asa",F386="rtt"),J386-H386+IF(H386&gt;J386,1),INDEX(ref!$E$22:'ref'!$E$37,MATCH(F386,gerald2,0)))</f>
        <v>0.33333333333333337</v>
      </c>
      <c r="P386" s="14">
        <f>IF(SUM(O386-ref!E$4)&lt;0,0,SUM(O386-ref!E$4))</f>
        <v>0</v>
      </c>
      <c r="Q386" s="98">
        <f t="shared" ref="Q386:Q391" si="309">Q385+L386</f>
        <v>0.58333333333333348</v>
      </c>
      <c r="S386" s="137"/>
      <c r="T386" s="92">
        <v>0.52083333333333337</v>
      </c>
      <c r="U386" s="129">
        <v>0.5625</v>
      </c>
      <c r="V386" s="142">
        <f t="shared" si="305"/>
        <v>4.166666666666663E-2</v>
      </c>
      <c r="W386" s="141">
        <f>IF(V386="","",IF(SUM(V386-ref!E$38)&gt;0,0,IF(V386=0, "0:00", SUM(V386-ref!E$38))))</f>
        <v>0</v>
      </c>
      <c r="X386" s="137"/>
      <c r="Y386" s="92"/>
      <c r="Z386" s="247"/>
      <c r="AA386" s="142">
        <f t="shared" ref="AA386:AA391" si="310">Z386-Y386</f>
        <v>0</v>
      </c>
      <c r="AB386" s="245" t="str">
        <f>IF(AA386="","",IF(SUM(AA386-ref!E$38)&gt;0,0,IF(AA386=0, "0:00", SUM(AA386-ref!E$38))))</f>
        <v>0:00</v>
      </c>
      <c r="AC386" s="29"/>
      <c r="AD386" s="106"/>
      <c r="AE386" s="112">
        <f>IF(SUM(AE385-ref!E$7)&lt;0,0,SUM(AE385-ref!E$7))</f>
        <v>0</v>
      </c>
      <c r="AF386" s="77">
        <f t="shared" si="306"/>
        <v>1</v>
      </c>
      <c r="AG386" s="19"/>
      <c r="AH386" s="178" t="s">
        <v>72</v>
      </c>
      <c r="AI386" s="54" t="s">
        <v>68</v>
      </c>
      <c r="AJ386" s="177" t="s">
        <v>73</v>
      </c>
      <c r="AK386" s="55" cm="1">
        <f t="array" ref="AK386">IF(ISNUMBER(G387),G387-_xlfn.AGGREGATE(14,6,(K$4:K386&lt;G387)*K$4:K386,1),"")</f>
        <v>0.66666666666424135</v>
      </c>
      <c r="AL386" s="20">
        <f>IF(ISNUMBER(AK386),ABS(IF(SUM(AK386-ref!E$9)&gt;0,0,SUM(AK386-ref!E$9))),"")</f>
        <v>0</v>
      </c>
      <c r="AQ386"/>
    </row>
    <row r="387" spans="2:43" x14ac:dyDescent="0.25">
      <c r="B387" s="80">
        <v>23</v>
      </c>
      <c r="C387" s="88" t="s">
        <v>20</v>
      </c>
      <c r="D387" s="88"/>
      <c r="E387" s="154">
        <f t="shared" si="307"/>
        <v>44098</v>
      </c>
      <c r="F387" s="164" t="s">
        <v>20</v>
      </c>
      <c r="G387" s="155">
        <f t="shared" si="303"/>
        <v>44098.375</v>
      </c>
      <c r="H387" s="29">
        <v>0.375</v>
      </c>
      <c r="I387" s="23">
        <f t="shared" si="308"/>
        <v>4.166666666666663E-2</v>
      </c>
      <c r="J387" s="29">
        <v>0.70833333333333337</v>
      </c>
      <c r="K387" s="46">
        <f t="shared" si="304"/>
        <v>44098.708333333336</v>
      </c>
      <c r="L387" s="21">
        <f>IF(OR(F387="télétravail",F387="férié travaillé",F387="travail"),(J387-H387+IF(H387&gt;J387,1)-I387),INDEX(ref!$E$22:'ref'!$E$37,MATCH(F387,gerald3,0)))</f>
        <v>0.29166666666666674</v>
      </c>
      <c r="M387" s="13">
        <f>IF(SUM(L387-ref!E$8)&lt;0,0,SUM(L387-ref!E$8))</f>
        <v>0</v>
      </c>
      <c r="N387" s="252">
        <f>L387-(hs!D386+hs!F386+hs!H386+hs!J386)</f>
        <v>-4.166666666666663E-2</v>
      </c>
      <c r="O387" s="8">
        <f>IF(OR(F387="férié travaillé",F387="travail",F387="asa",F387="rtt"),J387-H387+IF(H387&gt;J387,1),INDEX(ref!$E$22:'ref'!$E$37,MATCH(F387,gerald2,0)))</f>
        <v>0.33333333333333337</v>
      </c>
      <c r="P387" s="14">
        <f>IF(SUM(O387-ref!E$4)&lt;0,0,SUM(O387-ref!E$4))</f>
        <v>0</v>
      </c>
      <c r="Q387" s="98">
        <f t="shared" si="309"/>
        <v>0.87500000000000022</v>
      </c>
      <c r="S387" s="137"/>
      <c r="T387" s="92">
        <v>0.52083333333333337</v>
      </c>
      <c r="U387" s="129">
        <v>0.5625</v>
      </c>
      <c r="V387" s="142">
        <f t="shared" si="305"/>
        <v>4.166666666666663E-2</v>
      </c>
      <c r="W387" s="141">
        <f>IF(V387="","",IF(SUM(V387-ref!E$38)&gt;0,0,IF(V387=0, "0:00", SUM(V387-ref!E$38))))</f>
        <v>0</v>
      </c>
      <c r="X387" s="137"/>
      <c r="Y387" s="92"/>
      <c r="Z387" s="247"/>
      <c r="AA387" s="142">
        <f t="shared" si="310"/>
        <v>0</v>
      </c>
      <c r="AB387" s="245" t="str">
        <f>IF(AA387="","",IF(SUM(AA387-ref!E$38)&gt;0,0,IF(AA387=0, "0:00", SUM(AA387-ref!E$38))))</f>
        <v>0:00</v>
      </c>
      <c r="AC387" s="29"/>
      <c r="AD387" s="106"/>
      <c r="AE387" s="113" t="s">
        <v>29</v>
      </c>
      <c r="AF387" s="77">
        <f t="shared" si="306"/>
        <v>1</v>
      </c>
      <c r="AG387" s="19"/>
      <c r="AH387" s="178" t="s">
        <v>73</v>
      </c>
      <c r="AI387" s="54" t="s">
        <v>68</v>
      </c>
      <c r="AJ387" s="177" t="s">
        <v>74</v>
      </c>
      <c r="AK387" s="55" cm="1">
        <f t="array" ref="AK387">IF(ISNUMBER(G388),G388-_xlfn.AGGREGATE(14,6,(K$4:K387&lt;G388)*K$4:K387,1),"")</f>
        <v>0.66666666666424135</v>
      </c>
      <c r="AL387" s="20">
        <f>IF(ISNUMBER(AK387),ABS(IF(SUM(AK387-ref!E$9)&gt;0,0,SUM(AK387-ref!E$9))),"")</f>
        <v>0</v>
      </c>
      <c r="AQ387"/>
    </row>
    <row r="388" spans="2:43" x14ac:dyDescent="0.25">
      <c r="B388" s="79" t="s">
        <v>58</v>
      </c>
      <c r="C388" s="88" t="s">
        <v>20</v>
      </c>
      <c r="D388" s="88"/>
      <c r="E388" s="154">
        <f t="shared" si="307"/>
        <v>44099</v>
      </c>
      <c r="F388" s="164" t="s">
        <v>20</v>
      </c>
      <c r="G388" s="155">
        <f t="shared" si="303"/>
        <v>44099.375</v>
      </c>
      <c r="H388" s="29">
        <v>0.375</v>
      </c>
      <c r="I388" s="23">
        <f t="shared" si="308"/>
        <v>4.166666666666663E-2</v>
      </c>
      <c r="J388" s="29">
        <v>0.70833333333333337</v>
      </c>
      <c r="K388" s="46">
        <f t="shared" si="304"/>
        <v>44099.708333333336</v>
      </c>
      <c r="L388" s="21">
        <f>IF(OR(F388="télétravail",F388="férié travaillé",F388="travail"),(J388-H388+IF(H388&gt;J388,1)-I388),INDEX(ref!$E$22:'ref'!$E$37,MATCH(F388,gerald3,0)))</f>
        <v>0.29166666666666674</v>
      </c>
      <c r="M388" s="13">
        <f>IF(SUM(L388-ref!E$8)&lt;0,0,SUM(L388-ref!E$8))</f>
        <v>0</v>
      </c>
      <c r="N388" s="252">
        <f>L388-(hs!D387+hs!F387+hs!H387+hs!J387)</f>
        <v>-4.166666666666663E-2</v>
      </c>
      <c r="O388" s="8">
        <f>IF(OR(F388="férié travaillé",F388="travail",F388="asa",F388="rtt"),J388-H388+IF(H388&gt;J388,1),INDEX(ref!$E$22:'ref'!$E$37,MATCH(F388,gerald2,0)))</f>
        <v>0.33333333333333337</v>
      </c>
      <c r="P388" s="14">
        <f>IF(SUM(O388-ref!E$4)&lt;0,0,SUM(O388-ref!E$4))</f>
        <v>0</v>
      </c>
      <c r="Q388" s="98">
        <f t="shared" si="309"/>
        <v>1.166666666666667</v>
      </c>
      <c r="S388" s="137"/>
      <c r="T388" s="92">
        <v>0.52083333333333337</v>
      </c>
      <c r="U388" s="129">
        <v>0.5625</v>
      </c>
      <c r="V388" s="142">
        <f t="shared" si="305"/>
        <v>4.166666666666663E-2</v>
      </c>
      <c r="W388" s="141">
        <f>IF(V388="","",IF(SUM(V388-ref!E$38)&gt;0,0,IF(V388=0, "0:00", SUM(V388-ref!E$38))))</f>
        <v>0</v>
      </c>
      <c r="X388" s="137"/>
      <c r="Y388" s="92"/>
      <c r="Z388" s="247"/>
      <c r="AA388" s="142">
        <f t="shared" si="310"/>
        <v>0</v>
      </c>
      <c r="AB388" s="245" t="str">
        <f>IF(AA388="","",IF(SUM(AA388-ref!E$38)&gt;0,0,IF(AA388=0, "0:00", SUM(AA388-ref!E$38))))</f>
        <v>0:00</v>
      </c>
      <c r="AC388" s="29"/>
      <c r="AD388" s="106"/>
      <c r="AE388" s="114">
        <f>Q391</f>
        <v>1.4583333333333337</v>
      </c>
      <c r="AF388" s="77">
        <f t="shared" si="306"/>
        <v>1</v>
      </c>
      <c r="AG388" s="19"/>
      <c r="AH388" s="178" t="s">
        <v>74</v>
      </c>
      <c r="AI388" s="54" t="s">
        <v>68</v>
      </c>
      <c r="AJ388" s="177" t="s">
        <v>75</v>
      </c>
      <c r="AK388" s="55" cm="1">
        <f t="array" ref="AK388">IF(ISNUMBER(G389),G389-_xlfn.AGGREGATE(14,6,(K$4:K388&lt;G389)*K$4:K388,1),"")</f>
        <v>0.66666666666424135</v>
      </c>
      <c r="AL388" s="20">
        <f>IF(ISNUMBER(AK388),ABS(IF(SUM(AK388-ref!E$9)&gt;0,0,SUM(AK388-ref!E$9))),"")</f>
        <v>0</v>
      </c>
      <c r="AQ388"/>
    </row>
    <row r="389" spans="2:43" x14ac:dyDescent="0.25">
      <c r="B389" s="81">
        <v>9</v>
      </c>
      <c r="C389" s="88" t="s">
        <v>20</v>
      </c>
      <c r="D389" s="88"/>
      <c r="E389" s="154">
        <f t="shared" si="307"/>
        <v>44100</v>
      </c>
      <c r="F389" s="164" t="s">
        <v>20</v>
      </c>
      <c r="G389" s="155">
        <f t="shared" si="303"/>
        <v>44100.375</v>
      </c>
      <c r="H389" s="29">
        <v>0.375</v>
      </c>
      <c r="I389" s="23">
        <f t="shared" si="308"/>
        <v>4.166666666666663E-2</v>
      </c>
      <c r="J389" s="29">
        <v>0.70833333333333337</v>
      </c>
      <c r="K389" s="46">
        <f t="shared" si="304"/>
        <v>44100.708333333336</v>
      </c>
      <c r="L389" s="21">
        <f>IF(OR(F389="télétravail",F389="férié travaillé",F389="travail"),(J389-H389+IF(H389&gt;J389,1)-I389),INDEX(ref!$E$22:'ref'!$E$37,MATCH(F389,gerald3,0)))</f>
        <v>0.29166666666666674</v>
      </c>
      <c r="M389" s="13">
        <f>IF(SUM(L389-ref!E$8)&lt;0,0,SUM(L389-ref!E$8))</f>
        <v>0</v>
      </c>
      <c r="N389" s="252">
        <f>L389-(hs!D388+hs!F388+hs!H388+hs!J388)</f>
        <v>-4.166666666666663E-2</v>
      </c>
      <c r="O389" s="8">
        <f>IF(OR(F389="férié travaillé",F389="travail",F389="asa",F389="rtt"),J389-H389+IF(H389&gt;J389,1),INDEX(ref!$E$22:'ref'!$E$37,MATCH(F389,gerald2,0)))</f>
        <v>0.33333333333333337</v>
      </c>
      <c r="P389" s="14">
        <f>IF(SUM(O389-ref!E$4)&lt;0,0,SUM(O389-ref!E$4))</f>
        <v>0</v>
      </c>
      <c r="Q389" s="98">
        <f t="shared" si="309"/>
        <v>1.4583333333333337</v>
      </c>
      <c r="S389" s="137"/>
      <c r="T389" s="92">
        <v>0.52083333333333337</v>
      </c>
      <c r="U389" s="129">
        <v>0.5625</v>
      </c>
      <c r="V389" s="142">
        <f t="shared" si="305"/>
        <v>4.166666666666663E-2</v>
      </c>
      <c r="W389" s="141">
        <f>IF(V389="","",IF(SUM(V389-ref!E$38)&gt;0,0,IF(V389=0, "0:00", SUM(V389-ref!E$38))))</f>
        <v>0</v>
      </c>
      <c r="X389" s="137"/>
      <c r="Y389" s="92"/>
      <c r="Z389" s="247"/>
      <c r="AA389" s="142">
        <f t="shared" si="310"/>
        <v>0</v>
      </c>
      <c r="AB389" s="245" t="str">
        <f>IF(AA389="","",IF(SUM(AA389-ref!E$38)&gt;0,0,IF(AA389=0, "0:00", SUM(AA389-ref!E$38))))</f>
        <v>0:00</v>
      </c>
      <c r="AC389" s="29"/>
      <c r="AD389" s="106"/>
      <c r="AE389" s="117" t="s">
        <v>47</v>
      </c>
      <c r="AF389" s="77">
        <f t="shared" si="306"/>
        <v>1</v>
      </c>
      <c r="AG389" s="19"/>
      <c r="AH389" s="178" t="s">
        <v>75</v>
      </c>
      <c r="AI389" s="54" t="s">
        <v>68</v>
      </c>
      <c r="AJ389" s="177" t="s">
        <v>76</v>
      </c>
      <c r="AK389" s="55" t="str" cm="1">
        <f t="array" ref="AK389">IF(ISNUMBER(G390),G390-_xlfn.AGGREGATE(14,6,(K$4:K389&lt;G390)*K$4:K389,1),"")</f>
        <v/>
      </c>
      <c r="AL389" s="20" t="str">
        <f>IF(ISNUMBER(AK389),ABS(IF(SUM(AK389-ref!E$9)&gt;0,0,SUM(AK389-ref!E$9))),"")</f>
        <v/>
      </c>
      <c r="AQ389"/>
    </row>
    <row r="390" spans="2:43" ht="15.75" thickBot="1" x14ac:dyDescent="0.3">
      <c r="B390"/>
      <c r="C390" s="89"/>
      <c r="D390" s="89"/>
      <c r="E390" s="154">
        <f t="shared" si="307"/>
        <v>44101</v>
      </c>
      <c r="F390" s="164" t="s">
        <v>19</v>
      </c>
      <c r="G390" s="155" t="str">
        <f t="shared" si="303"/>
        <v/>
      </c>
      <c r="H390" s="29"/>
      <c r="I390" s="23">
        <f t="shared" si="308"/>
        <v>0</v>
      </c>
      <c r="J390" s="29"/>
      <c r="K390" s="46" t="str">
        <f t="shared" si="304"/>
        <v/>
      </c>
      <c r="L390" s="21">
        <f>IF(OR(F390="télétravail",F390="férié travaillé",F390="travail"),(J390-H390+IF(H390&gt;J390,1)-I390),INDEX(ref!$E$22:'ref'!$E$37,MATCH(F390,gerald3,0)))</f>
        <v>0</v>
      </c>
      <c r="M390" s="13">
        <f>IF(SUM(L390-ref!E$8)&lt;0,0,SUM(L390-ref!E$8))</f>
        <v>0</v>
      </c>
      <c r="N390" s="252">
        <f>L390-(hs!D389+hs!F389+hs!H389+hs!J389)</f>
        <v>0</v>
      </c>
      <c r="O390" s="8">
        <f>IF(OR(F390="férié travaillé",F390="travail",F390="asa",F390="rtt"),J390-H390+IF(H390&gt;J390,1),INDEX(ref!$E$22:'ref'!$E$37,MATCH(F390,gerald2,0)))</f>
        <v>0</v>
      </c>
      <c r="P390" s="14">
        <f>IF(SUM(O390-ref!E$4)&lt;0,0,SUM(O390-ref!E$4))</f>
        <v>0</v>
      </c>
      <c r="Q390" s="97">
        <f t="shared" si="309"/>
        <v>1.4583333333333337</v>
      </c>
      <c r="S390" s="137"/>
      <c r="T390" s="92"/>
      <c r="U390" s="129"/>
      <c r="V390" s="142">
        <f t="shared" si="305"/>
        <v>0</v>
      </c>
      <c r="W390" s="141" t="str">
        <f>IF(V390="","",IF(SUM(V390-ref!E$38)&gt;0,0,IF(V390=0, "0:00", SUM(V390-ref!E$38))))</f>
        <v>0:00</v>
      </c>
      <c r="X390" s="137"/>
      <c r="Y390" s="92"/>
      <c r="Z390" s="247"/>
      <c r="AA390" s="142">
        <f t="shared" si="310"/>
        <v>0</v>
      </c>
      <c r="AB390" s="245" t="str">
        <f>IF(AA390="","",IF(SUM(AA390-ref!E$38)&gt;0,0,IF(AA390=0, "0:00", SUM(AA390-ref!E$38))))</f>
        <v>0:00</v>
      </c>
      <c r="AC390" s="29"/>
      <c r="AD390" s="106"/>
      <c r="AE390" s="118">
        <f>ref!E$11</f>
        <v>2</v>
      </c>
      <c r="AF390" s="77">
        <f t="shared" si="306"/>
        <v>0</v>
      </c>
      <c r="AG390" s="19"/>
      <c r="AH390" s="178" t="s">
        <v>76</v>
      </c>
      <c r="AI390" s="54" t="s">
        <v>68</v>
      </c>
      <c r="AJ390" s="177" t="s">
        <v>77</v>
      </c>
      <c r="AK390" s="55" t="str" cm="1">
        <f t="array" ref="AK390">IF(ISNUMBER(G391),G391-_xlfn.AGGREGATE(14,6,(K$4:K390&lt;G391)*K$4:K390,1),"")</f>
        <v/>
      </c>
      <c r="AL390" s="20" t="str">
        <f>IF(ISNUMBER(AK390),ABS(IF(SUM(AK390-ref!E$9)&gt;0,0,SUM(AK390-ref!E$9))),"")</f>
        <v/>
      </c>
      <c r="AQ390"/>
    </row>
    <row r="391" spans="2:43" ht="15.75" thickBot="1" x14ac:dyDescent="0.3">
      <c r="B391"/>
      <c r="C391" s="89"/>
      <c r="D391" s="89"/>
      <c r="E391" s="154">
        <f t="shared" si="307"/>
        <v>44102</v>
      </c>
      <c r="F391" s="165" t="s">
        <v>19</v>
      </c>
      <c r="G391" s="155" t="str">
        <f t="shared" si="303"/>
        <v/>
      </c>
      <c r="H391" s="29"/>
      <c r="I391" s="23">
        <f t="shared" si="308"/>
        <v>0</v>
      </c>
      <c r="J391" s="29"/>
      <c r="K391" s="46" t="str">
        <f t="shared" si="304"/>
        <v/>
      </c>
      <c r="L391" s="21">
        <f>IF(OR(F391="télétravail",F391="férié travaillé",F391="travail"),(J391-H391+IF(H391&gt;J391,1)-I391),INDEX(ref!$E$22:'ref'!$E$37,MATCH(F391,gerald3,0)))</f>
        <v>0</v>
      </c>
      <c r="M391" s="13">
        <f>IF(SUM(L391-ref!E$8)&lt;0,0,SUM(L391-ref!E$8))</f>
        <v>0</v>
      </c>
      <c r="N391" s="252">
        <f>L391-(hs!D390+hs!F390+hs!H390+hs!J390)</f>
        <v>0</v>
      </c>
      <c r="O391" s="8">
        <f>IF(OR(F391="férié travaillé",F391="travail",F391="asa",F391="rtt"),J391-H391+IF(H391&gt;J391,1),INDEX(ref!$E$22:'ref'!$E$37,MATCH(F391,gerald2,0)))</f>
        <v>0</v>
      </c>
      <c r="P391" s="14">
        <f>IF(SUM(O391-ref!E$4)&lt;0,0,SUM(O391-ref!E$4))</f>
        <v>0</v>
      </c>
      <c r="Q391" s="94">
        <f t="shared" si="309"/>
        <v>1.4583333333333337</v>
      </c>
      <c r="S391" s="138"/>
      <c r="T391" s="92"/>
      <c r="U391" s="129"/>
      <c r="V391" s="142">
        <f t="shared" si="305"/>
        <v>0</v>
      </c>
      <c r="W391" s="141" t="str">
        <f>IF(V391="","",IF(SUM(V391-ref!E$38)&gt;0,0,IF(V391=0, "0:00", SUM(V391-ref!E$38))))</f>
        <v>0:00</v>
      </c>
      <c r="X391" s="138"/>
      <c r="Y391" s="92"/>
      <c r="Z391" s="247"/>
      <c r="AA391" s="142">
        <f t="shared" si="310"/>
        <v>0</v>
      </c>
      <c r="AB391" s="246" t="str">
        <f>IF(AA391="","",IF(SUM(AA391-ref!E$38)&gt;0,0,IF(AA391=0, "0:00", SUM(AA391-ref!E$38))))</f>
        <v>0:00</v>
      </c>
      <c r="AC391" s="29"/>
      <c r="AD391" s="106"/>
      <c r="AE391" s="110">
        <f>IF(SUM(Q391-ref!E$11)&lt;0,0,SUM(Q391-ref!E$11))</f>
        <v>0</v>
      </c>
      <c r="AF391" s="77">
        <f t="shared" si="306"/>
        <v>0</v>
      </c>
      <c r="AG391" s="19"/>
      <c r="AQ391"/>
    </row>
    <row r="392" spans="2:43" x14ac:dyDescent="0.25">
      <c r="C392" s="89"/>
      <c r="D392" s="89"/>
      <c r="W392" s="74"/>
      <c r="X392" s="2"/>
      <c r="Z392"/>
      <c r="AA392" s="2"/>
      <c r="AB392" s="2"/>
      <c r="AC392" s="127"/>
      <c r="AQ392"/>
    </row>
    <row r="393" spans="2:43" x14ac:dyDescent="0.25">
      <c r="C393" s="89"/>
      <c r="D393" s="89"/>
      <c r="X393" s="2"/>
      <c r="Z393"/>
      <c r="AA393" s="2"/>
      <c r="AB393" s="2"/>
      <c r="AC393" s="127"/>
      <c r="AQ393"/>
    </row>
    <row r="394" spans="2:43" ht="15.75" thickBot="1" x14ac:dyDescent="0.3">
      <c r="C394" s="89"/>
      <c r="D394" s="89"/>
      <c r="W394" s="74"/>
      <c r="X394" s="2"/>
      <c r="Z394"/>
      <c r="AA394" s="2"/>
      <c r="AB394" s="2"/>
      <c r="AC394" s="127"/>
      <c r="AQ394"/>
    </row>
    <row r="395" spans="2:43" x14ac:dyDescent="0.25">
      <c r="B395" s="78" t="s">
        <v>1</v>
      </c>
      <c r="C395" s="88" t="s">
        <v>20</v>
      </c>
      <c r="D395" s="88"/>
      <c r="E395" s="154">
        <f>DATE(ref!E$2,B399,B397)</f>
        <v>44103</v>
      </c>
      <c r="F395" s="163" t="s">
        <v>20</v>
      </c>
      <c r="G395" s="155">
        <f t="shared" ref="G395:G401" si="311">IF(AND(J395="",H395=""),"",E395+H395)</f>
        <v>44103.375</v>
      </c>
      <c r="H395" s="29">
        <v>0.375</v>
      </c>
      <c r="I395" s="23">
        <f>SUM(V395+AA395+AC395)</f>
        <v>4.166666666666663E-2</v>
      </c>
      <c r="J395" s="29">
        <v>0.70833333333333337</v>
      </c>
      <c r="K395" s="46">
        <f t="shared" ref="K395:K401" si="312">IF(AND(H395="",J395=""),"",E395+J395+(H395&gt;J395))</f>
        <v>44103.708333333336</v>
      </c>
      <c r="L395" s="21">
        <f>IF(OR(F395="télétravail",F395="férié travaillé",F395="travail"),(J395-H395+IF(H395&gt;J395,1)-I395),INDEX(ref!$E$22:'ref'!$E$37,MATCH(F395,gerald3,0)))</f>
        <v>0.29166666666666674</v>
      </c>
      <c r="M395" s="13">
        <f>IF(SUM(L395-ref!E$8)&lt;0,0,SUM(L395-ref!E$8))</f>
        <v>0</v>
      </c>
      <c r="N395" s="252">
        <f>L395-(hs!D394+hs!F394+hs!H394+hs!J394)</f>
        <v>-4.166666666666663E-2</v>
      </c>
      <c r="O395" s="8">
        <f>IF(OR(F395="férié travaillé",F395="travail",F395="asa",F395="rtt"),J395-H395+IF(H395&gt;J395,1),INDEX(ref!$E$22:'ref'!$E$37,MATCH(F395,gerald2,0)))</f>
        <v>0.33333333333333337</v>
      </c>
      <c r="P395" s="14">
        <f>IF(SUM(O395-ref!E$4)&lt;0,0,SUM(O395-ref!E$4))</f>
        <v>0</v>
      </c>
      <c r="Q395" s="166">
        <f>L395</f>
        <v>0.29166666666666674</v>
      </c>
      <c r="S395" s="136"/>
      <c r="T395" s="92">
        <v>0.52083333333333337</v>
      </c>
      <c r="U395" s="129">
        <v>0.5625</v>
      </c>
      <c r="V395" s="142">
        <f t="shared" ref="V395:V401" si="313">U395-T395</f>
        <v>4.166666666666663E-2</v>
      </c>
      <c r="W395" s="141">
        <f>IF(V395="","",IF(SUM(V395-ref!E$38)&gt;0,0,IF(V395=0, "0:00", SUM(V395-ref!E$38))))</f>
        <v>0</v>
      </c>
      <c r="X395" s="136"/>
      <c r="Y395" s="92"/>
      <c r="Z395" s="247"/>
      <c r="AA395" s="142">
        <f>Z395-Y395</f>
        <v>0</v>
      </c>
      <c r="AB395" s="244" t="str">
        <f>IF(AA395="","",IF(SUM(AA395-ref!E$38)&gt;0,0,IF(AA395=0, "0:00", SUM(AA395-ref!E$38))))</f>
        <v>0:00</v>
      </c>
      <c r="AC395" s="29"/>
      <c r="AD395" s="106"/>
      <c r="AE395" s="111">
        <f>SUM(AF395:AF401)</f>
        <v>5</v>
      </c>
      <c r="AF395" s="77">
        <f t="shared" ref="AF395:AF401" si="314">IF(AND(H395&lt;&gt;"",J395&lt;&gt;""),1,0+OR(N(J394)&lt;N(H394),F395="récupération",F395="congé 1 jour",F395="congé 1/2 jour ",F395="congé 5h24",F395="arrêt maladie",F395="arrêt travail",F395="férié ",F395="congé parentale",F395="congé de naissance"))</f>
        <v>1</v>
      </c>
      <c r="AG395" s="19"/>
      <c r="AH395" s="176" t="s">
        <v>71</v>
      </c>
      <c r="AI395" s="54" t="s">
        <v>68</v>
      </c>
      <c r="AJ395" s="177" t="s">
        <v>72</v>
      </c>
      <c r="AK395" s="55" cm="1">
        <f t="array" ref="AK395">IF(ISNUMBER(G396),G396-_xlfn.AGGREGATE(14,6,(K$4:K395&lt;G396)*K$4:K395,1),"")</f>
        <v>0.66666666666424135</v>
      </c>
      <c r="AL395" s="20">
        <f>IF(ISNUMBER(AK395),ABS(IF(SUM(AK395-ref!E$9)&gt;0,0,SUM(AK395-ref!E$9))),"")</f>
        <v>0</v>
      </c>
      <c r="AQ395"/>
    </row>
    <row r="396" spans="2:43" x14ac:dyDescent="0.25">
      <c r="B396" s="79" t="s">
        <v>1</v>
      </c>
      <c r="C396" s="88" t="s">
        <v>20</v>
      </c>
      <c r="D396" s="88"/>
      <c r="E396" s="154">
        <f t="shared" ref="E396:E401" si="315">E395+1</f>
        <v>44104</v>
      </c>
      <c r="F396" s="164" t="s">
        <v>20</v>
      </c>
      <c r="G396" s="155">
        <f t="shared" si="311"/>
        <v>44104.375</v>
      </c>
      <c r="H396" s="29">
        <v>0.375</v>
      </c>
      <c r="I396" s="23">
        <f t="shared" ref="I396:I401" si="316">SUM(V396+AA396+AC396)</f>
        <v>4.166666666666663E-2</v>
      </c>
      <c r="J396" s="29">
        <v>0.70833333333333337</v>
      </c>
      <c r="K396" s="46">
        <f t="shared" si="312"/>
        <v>44104.708333333336</v>
      </c>
      <c r="L396" s="21">
        <f>IF(OR(F396="télétravail",F396="férié travaillé",F396="travail"),(J396-H396+IF(H396&gt;J396,1)-I396),INDEX(ref!$E$22:'ref'!$E$37,MATCH(F396,gerald3,0)))</f>
        <v>0.29166666666666674</v>
      </c>
      <c r="M396" s="13">
        <f>IF(SUM(L396-ref!E$8)&lt;0,0,SUM(L396-ref!E$8))</f>
        <v>0</v>
      </c>
      <c r="N396" s="252">
        <f>L396-(hs!D395+hs!F395+hs!H395+hs!J395)</f>
        <v>-4.166666666666663E-2</v>
      </c>
      <c r="O396" s="8">
        <f>IF(OR(F396="férié travaillé",F396="travail",F396="asa",F396="rtt"),J396-H396+IF(H396&gt;J396,1),INDEX(ref!$E$22:'ref'!$E$37,MATCH(F396,gerald2,0)))</f>
        <v>0.33333333333333337</v>
      </c>
      <c r="P396" s="14">
        <f>IF(SUM(O396-ref!E$4)&lt;0,0,SUM(O396-ref!E$4))</f>
        <v>0</v>
      </c>
      <c r="Q396" s="98">
        <f t="shared" ref="Q396:Q401" si="317">Q395+L396</f>
        <v>0.58333333333333348</v>
      </c>
      <c r="S396" s="137"/>
      <c r="T396" s="92">
        <v>0.52083333333333337</v>
      </c>
      <c r="U396" s="129">
        <v>0.5625</v>
      </c>
      <c r="V396" s="142">
        <f t="shared" si="313"/>
        <v>4.166666666666663E-2</v>
      </c>
      <c r="W396" s="141">
        <f>IF(V396="","",IF(SUM(V396-ref!E$38)&gt;0,0,IF(V396=0, "0:00", SUM(V396-ref!E$38))))</f>
        <v>0</v>
      </c>
      <c r="X396" s="137"/>
      <c r="Y396" s="92"/>
      <c r="Z396" s="247"/>
      <c r="AA396" s="142">
        <f t="shared" ref="AA396:AA401" si="318">Z396-Y396</f>
        <v>0</v>
      </c>
      <c r="AB396" s="245" t="str">
        <f>IF(AA396="","",IF(SUM(AA396-ref!E$38)&gt;0,0,IF(AA396=0, "0:00", SUM(AA396-ref!E$38))))</f>
        <v>0:00</v>
      </c>
      <c r="AC396" s="29"/>
      <c r="AD396" s="106"/>
      <c r="AE396" s="112">
        <f>IF(SUM(AE395-ref!E$7)&lt;0,0,SUM(AE395-ref!E$7))</f>
        <v>0</v>
      </c>
      <c r="AF396" s="77">
        <f t="shared" si="314"/>
        <v>1</v>
      </c>
      <c r="AG396" s="19"/>
      <c r="AH396" s="178" t="s">
        <v>72</v>
      </c>
      <c r="AI396" s="54" t="s">
        <v>68</v>
      </c>
      <c r="AJ396" s="177" t="s">
        <v>73</v>
      </c>
      <c r="AK396" s="55" cm="1">
        <f t="array" ref="AK396">IF(ISNUMBER(G397),G397-_xlfn.AGGREGATE(14,6,(K$4:K396&lt;G397)*K$4:K396,1),"")</f>
        <v>0.66666666666424135</v>
      </c>
      <c r="AL396" s="20">
        <f>IF(ISNUMBER(AK396),ABS(IF(SUM(AK396-ref!E$9)&gt;0,0,SUM(AK396-ref!E$9))),"")</f>
        <v>0</v>
      </c>
      <c r="AQ396"/>
    </row>
    <row r="397" spans="2:43" x14ac:dyDescent="0.25">
      <c r="B397" s="80">
        <v>30</v>
      </c>
      <c r="C397" s="88" t="s">
        <v>20</v>
      </c>
      <c r="D397" s="88"/>
      <c r="E397" s="154">
        <f t="shared" si="315"/>
        <v>44105</v>
      </c>
      <c r="F397" s="164" t="s">
        <v>20</v>
      </c>
      <c r="G397" s="155">
        <f t="shared" si="311"/>
        <v>44105.375</v>
      </c>
      <c r="H397" s="29">
        <v>0.375</v>
      </c>
      <c r="I397" s="23">
        <f t="shared" si="316"/>
        <v>4.166666666666663E-2</v>
      </c>
      <c r="J397" s="29">
        <v>0.70833333333333337</v>
      </c>
      <c r="K397" s="46">
        <f t="shared" si="312"/>
        <v>44105.708333333336</v>
      </c>
      <c r="L397" s="21">
        <f>IF(OR(F397="télétravail",F397="férié travaillé",F397="travail"),(J397-H397+IF(H397&gt;J397,1)-I397),INDEX(ref!$E$22:'ref'!$E$37,MATCH(F397,gerald3,0)))</f>
        <v>0.29166666666666674</v>
      </c>
      <c r="M397" s="13">
        <f>IF(SUM(L397-ref!E$8)&lt;0,0,SUM(L397-ref!E$8))</f>
        <v>0</v>
      </c>
      <c r="N397" s="252">
        <f>L397-(hs!D396+hs!F396+hs!H396+hs!J396)</f>
        <v>-4.166666666666663E-2</v>
      </c>
      <c r="O397" s="8">
        <f>IF(OR(F397="férié travaillé",F397="travail",F397="asa",F397="rtt"),J397-H397+IF(H397&gt;J397,1),INDEX(ref!$E$22:'ref'!$E$37,MATCH(F397,gerald2,0)))</f>
        <v>0.33333333333333337</v>
      </c>
      <c r="P397" s="14">
        <f>IF(SUM(O397-ref!E$4)&lt;0,0,SUM(O397-ref!E$4))</f>
        <v>0</v>
      </c>
      <c r="Q397" s="98">
        <f t="shared" si="317"/>
        <v>0.87500000000000022</v>
      </c>
      <c r="S397" s="137"/>
      <c r="T397" s="92">
        <v>0.52083333333333337</v>
      </c>
      <c r="U397" s="129">
        <v>0.5625</v>
      </c>
      <c r="V397" s="142">
        <f t="shared" si="313"/>
        <v>4.166666666666663E-2</v>
      </c>
      <c r="W397" s="141">
        <f>IF(V397="","",IF(SUM(V397-ref!E$38)&gt;0,0,IF(V397=0, "0:00", SUM(V397-ref!E$38))))</f>
        <v>0</v>
      </c>
      <c r="X397" s="137"/>
      <c r="Y397" s="92"/>
      <c r="Z397" s="247"/>
      <c r="AA397" s="142">
        <f t="shared" si="318"/>
        <v>0</v>
      </c>
      <c r="AB397" s="245" t="str">
        <f>IF(AA397="","",IF(SUM(AA397-ref!E$38)&gt;0,0,IF(AA397=0, "0:00", SUM(AA397-ref!E$38))))</f>
        <v>0:00</v>
      </c>
      <c r="AC397" s="29"/>
      <c r="AD397" s="106"/>
      <c r="AE397" s="113" t="s">
        <v>29</v>
      </c>
      <c r="AF397" s="77">
        <f t="shared" si="314"/>
        <v>1</v>
      </c>
      <c r="AG397" s="19"/>
      <c r="AH397" s="178" t="s">
        <v>73</v>
      </c>
      <c r="AI397" s="54" t="s">
        <v>68</v>
      </c>
      <c r="AJ397" s="177" t="s">
        <v>74</v>
      </c>
      <c r="AK397" s="55" cm="1">
        <f t="array" ref="AK397">IF(ISNUMBER(G398),G398-_xlfn.AGGREGATE(14,6,(K$4:K397&lt;G398)*K$4:K397,1),"")</f>
        <v>0.66666666666424135</v>
      </c>
      <c r="AL397" s="20">
        <f>IF(ISNUMBER(AK397),ABS(IF(SUM(AK397-ref!E$9)&gt;0,0,SUM(AK397-ref!E$9))),"")</f>
        <v>0</v>
      </c>
      <c r="AQ397"/>
    </row>
    <row r="398" spans="2:43" x14ac:dyDescent="0.25">
      <c r="B398" s="79" t="s">
        <v>58</v>
      </c>
      <c r="C398" s="88" t="s">
        <v>20</v>
      </c>
      <c r="D398" s="88"/>
      <c r="E398" s="154">
        <f t="shared" si="315"/>
        <v>44106</v>
      </c>
      <c r="F398" s="164" t="s">
        <v>20</v>
      </c>
      <c r="G398" s="155">
        <f t="shared" si="311"/>
        <v>44106.375</v>
      </c>
      <c r="H398" s="29">
        <v>0.375</v>
      </c>
      <c r="I398" s="23">
        <f t="shared" si="316"/>
        <v>4.166666666666663E-2</v>
      </c>
      <c r="J398" s="29">
        <v>0.70833333333333337</v>
      </c>
      <c r="K398" s="46">
        <f t="shared" si="312"/>
        <v>44106.708333333336</v>
      </c>
      <c r="L398" s="21">
        <f>IF(OR(F398="télétravail",F398="férié travaillé",F398="travail"),(J398-H398+IF(H398&gt;J398,1)-I398),INDEX(ref!$E$22:'ref'!$E$37,MATCH(F398,gerald3,0)))</f>
        <v>0.29166666666666674</v>
      </c>
      <c r="M398" s="13">
        <f>IF(SUM(L398-ref!E$8)&lt;0,0,SUM(L398-ref!E$8))</f>
        <v>0</v>
      </c>
      <c r="N398" s="252">
        <f>L398-(hs!D397+hs!F397+hs!H397+hs!J397)</f>
        <v>-4.166666666666663E-2</v>
      </c>
      <c r="O398" s="8">
        <f>IF(OR(F398="férié travaillé",F398="travail",F398="asa",F398="rtt"),J398-H398+IF(H398&gt;J398,1),INDEX(ref!$E$22:'ref'!$E$37,MATCH(F398,gerald2,0)))</f>
        <v>0.33333333333333337</v>
      </c>
      <c r="P398" s="14">
        <f>IF(SUM(O398-ref!E$4)&lt;0,0,SUM(O398-ref!E$4))</f>
        <v>0</v>
      </c>
      <c r="Q398" s="98">
        <f t="shared" si="317"/>
        <v>1.166666666666667</v>
      </c>
      <c r="S398" s="137"/>
      <c r="T398" s="92">
        <v>0.52083333333333337</v>
      </c>
      <c r="U398" s="129">
        <v>0.5625</v>
      </c>
      <c r="V398" s="142">
        <f t="shared" si="313"/>
        <v>4.166666666666663E-2</v>
      </c>
      <c r="W398" s="141">
        <f>IF(V398="","",IF(SUM(V398-ref!E$38)&gt;0,0,IF(V398=0, "0:00", SUM(V398-ref!E$38))))</f>
        <v>0</v>
      </c>
      <c r="X398" s="137"/>
      <c r="Y398" s="92"/>
      <c r="Z398" s="247"/>
      <c r="AA398" s="142">
        <f t="shared" si="318"/>
        <v>0</v>
      </c>
      <c r="AB398" s="245" t="str">
        <f>IF(AA398="","",IF(SUM(AA398-ref!E$38)&gt;0,0,IF(AA398=0, "0:00", SUM(AA398-ref!E$38))))</f>
        <v>0:00</v>
      </c>
      <c r="AC398" s="29"/>
      <c r="AD398" s="106"/>
      <c r="AE398" s="114">
        <f>Q401</f>
        <v>1.4583333333333337</v>
      </c>
      <c r="AF398" s="77">
        <f t="shared" si="314"/>
        <v>1</v>
      </c>
      <c r="AG398" s="19"/>
      <c r="AH398" s="178" t="s">
        <v>74</v>
      </c>
      <c r="AI398" s="54" t="s">
        <v>68</v>
      </c>
      <c r="AJ398" s="177" t="s">
        <v>75</v>
      </c>
      <c r="AK398" s="55" cm="1">
        <f t="array" ref="AK398">IF(ISNUMBER(G399),G399-_xlfn.AGGREGATE(14,6,(K$4:K398&lt;G399)*K$4:K398,1),"")</f>
        <v>0.66666666666424135</v>
      </c>
      <c r="AL398" s="20">
        <f>IF(ISNUMBER(AK398),ABS(IF(SUM(AK398-ref!E$9)&gt;0,0,SUM(AK398-ref!E$9))),"")</f>
        <v>0</v>
      </c>
      <c r="AQ398"/>
    </row>
    <row r="399" spans="2:43" x14ac:dyDescent="0.25">
      <c r="B399" s="81">
        <v>9</v>
      </c>
      <c r="C399" s="88" t="s">
        <v>20</v>
      </c>
      <c r="D399" s="88"/>
      <c r="E399" s="154">
        <f t="shared" si="315"/>
        <v>44107</v>
      </c>
      <c r="F399" s="164" t="s">
        <v>20</v>
      </c>
      <c r="G399" s="155">
        <f t="shared" si="311"/>
        <v>44107.375</v>
      </c>
      <c r="H399" s="29">
        <v>0.375</v>
      </c>
      <c r="I399" s="23">
        <f t="shared" si="316"/>
        <v>4.166666666666663E-2</v>
      </c>
      <c r="J399" s="29">
        <v>0.70833333333333337</v>
      </c>
      <c r="K399" s="46">
        <f t="shared" si="312"/>
        <v>44107.708333333336</v>
      </c>
      <c r="L399" s="21">
        <f>IF(OR(F399="télétravail",F399="férié travaillé",F399="travail"),(J399-H399+IF(H399&gt;J399,1)-I399),INDEX(ref!$E$22:'ref'!$E$37,MATCH(F399,gerald3,0)))</f>
        <v>0.29166666666666674</v>
      </c>
      <c r="M399" s="13">
        <f>IF(SUM(L399-ref!E$8)&lt;0,0,SUM(L399-ref!E$8))</f>
        <v>0</v>
      </c>
      <c r="N399" s="252">
        <f>L399-(hs!D398+hs!F398+hs!H398+hs!J398)</f>
        <v>-4.166666666666663E-2</v>
      </c>
      <c r="O399" s="8">
        <f>IF(OR(F399="férié travaillé",F399="travail",F399="asa",F399="rtt"),J399-H399+IF(H399&gt;J399,1),INDEX(ref!$E$22:'ref'!$E$37,MATCH(F399,gerald2,0)))</f>
        <v>0.33333333333333337</v>
      </c>
      <c r="P399" s="14">
        <f>IF(SUM(O399-ref!E$4)&lt;0,0,SUM(O399-ref!E$4))</f>
        <v>0</v>
      </c>
      <c r="Q399" s="143">
        <f t="shared" si="317"/>
        <v>1.4583333333333337</v>
      </c>
      <c r="S399" s="137"/>
      <c r="T399" s="92">
        <v>0.52083333333333337</v>
      </c>
      <c r="U399" s="129">
        <v>0.5625</v>
      </c>
      <c r="V399" s="142">
        <f t="shared" si="313"/>
        <v>4.166666666666663E-2</v>
      </c>
      <c r="W399" s="141">
        <f>IF(V399="","",IF(SUM(V399-ref!E$38)&gt;0,0,IF(V399=0, "0:00", SUM(V399-ref!E$38))))</f>
        <v>0</v>
      </c>
      <c r="X399" s="137"/>
      <c r="Y399" s="92"/>
      <c r="Z399" s="247"/>
      <c r="AA399" s="142">
        <f t="shared" si="318"/>
        <v>0</v>
      </c>
      <c r="AB399" s="245" t="str">
        <f>IF(AA399="","",IF(SUM(AA399-ref!E$38)&gt;0,0,IF(AA399=0, "0:00", SUM(AA399-ref!E$38))))</f>
        <v>0:00</v>
      </c>
      <c r="AC399" s="29"/>
      <c r="AD399" s="106"/>
      <c r="AE399" s="117" t="s">
        <v>47</v>
      </c>
      <c r="AF399" s="77">
        <f t="shared" si="314"/>
        <v>1</v>
      </c>
      <c r="AG399" s="19"/>
      <c r="AH399" s="178" t="s">
        <v>75</v>
      </c>
      <c r="AI399" s="54" t="s">
        <v>68</v>
      </c>
      <c r="AJ399" s="177" t="s">
        <v>76</v>
      </c>
      <c r="AK399" s="55" t="str" cm="1">
        <f t="array" ref="AK399">IF(ISNUMBER(G400),G400-_xlfn.AGGREGATE(14,6,(K$4:K399&lt;G400)*K$4:K399,1),"")</f>
        <v/>
      </c>
      <c r="AL399" s="20" t="str">
        <f>IF(ISNUMBER(AK399),ABS(IF(SUM(AK399-ref!E$9)&gt;0,0,SUM(AK399-ref!E$9))),"")</f>
        <v/>
      </c>
      <c r="AQ399"/>
    </row>
    <row r="400" spans="2:43" ht="15.75" thickBot="1" x14ac:dyDescent="0.3">
      <c r="B400"/>
      <c r="C400" s="89"/>
      <c r="D400" s="89"/>
      <c r="E400" s="154">
        <f t="shared" si="315"/>
        <v>44108</v>
      </c>
      <c r="F400" s="164" t="s">
        <v>19</v>
      </c>
      <c r="G400" s="155" t="str">
        <f t="shared" si="311"/>
        <v/>
      </c>
      <c r="H400" s="29"/>
      <c r="I400" s="23">
        <f t="shared" si="316"/>
        <v>0</v>
      </c>
      <c r="J400" s="29"/>
      <c r="K400" s="46" t="str">
        <f t="shared" si="312"/>
        <v/>
      </c>
      <c r="L400" s="21">
        <f>IF(OR(F400="télétravail",F400="férié travaillé",F400="travail"),(J400-H400+IF(H400&gt;J400,1)-I400),INDEX(ref!$E$22:'ref'!$E$37,MATCH(F400,gerald3,0)))</f>
        <v>0</v>
      </c>
      <c r="M400" s="13">
        <f>IF(SUM(L400-ref!E$8)&lt;0,0,SUM(L400-ref!E$8))</f>
        <v>0</v>
      </c>
      <c r="N400" s="252">
        <f>L400-(hs!D399+hs!F399+hs!H399+hs!J399)</f>
        <v>0</v>
      </c>
      <c r="O400" s="8">
        <f>IF(OR(F400="férié travaillé",F400="travail",F400="asa",F400="rtt"),J400-H400+IF(H400&gt;J400,1),INDEX(ref!$E$22:'ref'!$E$37,MATCH(F400,gerald2,0)))</f>
        <v>0</v>
      </c>
      <c r="P400" s="14">
        <f>IF(SUM(O400-ref!E$4)&lt;0,0,SUM(O400-ref!E$4))</f>
        <v>0</v>
      </c>
      <c r="Q400" s="97">
        <f t="shared" si="317"/>
        <v>1.4583333333333337</v>
      </c>
      <c r="S400" s="137"/>
      <c r="T400" s="92"/>
      <c r="U400" s="129"/>
      <c r="V400" s="142">
        <f t="shared" si="313"/>
        <v>0</v>
      </c>
      <c r="W400" s="141" t="str">
        <f>IF(V400="","",IF(SUM(V400-ref!E$38)&gt;0,0,IF(V400=0, "0:00", SUM(V400-ref!E$38))))</f>
        <v>0:00</v>
      </c>
      <c r="X400" s="137"/>
      <c r="Y400" s="92"/>
      <c r="Z400" s="247"/>
      <c r="AA400" s="142">
        <f t="shared" si="318"/>
        <v>0</v>
      </c>
      <c r="AB400" s="245" t="str">
        <f>IF(AA400="","",IF(SUM(AA400-ref!E$38)&gt;0,0,IF(AA400=0, "0:00", SUM(AA400-ref!E$38))))</f>
        <v>0:00</v>
      </c>
      <c r="AC400" s="29"/>
      <c r="AD400" s="106"/>
      <c r="AE400" s="118">
        <f>ref!E$11</f>
        <v>2</v>
      </c>
      <c r="AF400" s="77">
        <f t="shared" si="314"/>
        <v>0</v>
      </c>
      <c r="AG400" s="19"/>
      <c r="AH400" s="178" t="s">
        <v>76</v>
      </c>
      <c r="AI400" s="54" t="s">
        <v>68</v>
      </c>
      <c r="AJ400" s="177" t="s">
        <v>77</v>
      </c>
      <c r="AK400" s="55" t="str" cm="1">
        <f t="array" ref="AK400">IF(ISNUMBER(G401),G401-_xlfn.AGGREGATE(14,6,(K$4:K400&lt;G401)*K$4:K400,1),"")</f>
        <v/>
      </c>
      <c r="AL400" s="20" t="str">
        <f>IF(ISNUMBER(AK400),ABS(IF(SUM(AK400-ref!E$9)&gt;0,0,SUM(AK400-ref!E$9))),"")</f>
        <v/>
      </c>
      <c r="AQ400"/>
    </row>
    <row r="401" spans="2:43" ht="15.75" thickBot="1" x14ac:dyDescent="0.3">
      <c r="B401"/>
      <c r="C401" s="89"/>
      <c r="D401" s="89"/>
      <c r="E401" s="154">
        <f t="shared" si="315"/>
        <v>44109</v>
      </c>
      <c r="F401" s="165" t="s">
        <v>19</v>
      </c>
      <c r="G401" s="155" t="str">
        <f t="shared" si="311"/>
        <v/>
      </c>
      <c r="H401" s="29"/>
      <c r="I401" s="23">
        <f t="shared" si="316"/>
        <v>0</v>
      </c>
      <c r="J401" s="29"/>
      <c r="K401" s="46" t="str">
        <f t="shared" si="312"/>
        <v/>
      </c>
      <c r="L401" s="21">
        <f>IF(OR(F401="télétravail",F401="férié travaillé",F401="travail"),(J401-H401+IF(H401&gt;J401,1)-I401),INDEX(ref!$E$22:'ref'!$E$37,MATCH(F401,gerald3,0)))</f>
        <v>0</v>
      </c>
      <c r="M401" s="13">
        <f>IF(SUM(L401-ref!E$8)&lt;0,0,SUM(L401-ref!E$8))</f>
        <v>0</v>
      </c>
      <c r="N401" s="252">
        <f>L401-(hs!D400+hs!F400+hs!H400+hs!J400)</f>
        <v>0</v>
      </c>
      <c r="O401" s="8">
        <f>IF(OR(F401="férié travaillé",F401="travail",F401="asa",F401="rtt"),J401-H401+IF(H401&gt;J401,1),INDEX(ref!$E$22:'ref'!$E$37,MATCH(F401,gerald2,0)))</f>
        <v>0</v>
      </c>
      <c r="P401" s="14">
        <f>IF(SUM(O401-ref!E$4)&lt;0,0,SUM(O401-ref!E$4))</f>
        <v>0</v>
      </c>
      <c r="Q401" s="94">
        <f t="shared" si="317"/>
        <v>1.4583333333333337</v>
      </c>
      <c r="S401" s="138"/>
      <c r="T401" s="92"/>
      <c r="U401" s="129"/>
      <c r="V401" s="142">
        <f t="shared" si="313"/>
        <v>0</v>
      </c>
      <c r="W401" s="141" t="str">
        <f>IF(V401="","",IF(SUM(V401-ref!E$38)&gt;0,0,IF(V401=0, "0:00", SUM(V401-ref!E$38))))</f>
        <v>0:00</v>
      </c>
      <c r="X401" s="138"/>
      <c r="Y401" s="92"/>
      <c r="Z401" s="247"/>
      <c r="AA401" s="142">
        <f t="shared" si="318"/>
        <v>0</v>
      </c>
      <c r="AB401" s="246" t="str">
        <f>IF(AA401="","",IF(SUM(AA401-ref!E$38)&gt;0,0,IF(AA401=0, "0:00", SUM(AA401-ref!E$38))))</f>
        <v>0:00</v>
      </c>
      <c r="AC401" s="29"/>
      <c r="AD401" s="106"/>
      <c r="AE401" s="110">
        <f>IF(SUM(Q401-ref!E$11)&lt;0,0,SUM(Q401-ref!E$11))</f>
        <v>0</v>
      </c>
      <c r="AF401" s="77">
        <f t="shared" si="314"/>
        <v>0</v>
      </c>
      <c r="AG401" s="19"/>
      <c r="AQ401"/>
    </row>
    <row r="402" spans="2:43" x14ac:dyDescent="0.25">
      <c r="C402" s="89"/>
      <c r="D402" s="89"/>
      <c r="W402" s="74"/>
      <c r="X402" s="2"/>
      <c r="Z402"/>
      <c r="AA402" s="2"/>
      <c r="AB402" s="2"/>
      <c r="AC402" s="127"/>
      <c r="AQ402"/>
    </row>
    <row r="403" spans="2:43" x14ac:dyDescent="0.25">
      <c r="C403" s="89"/>
      <c r="D403" s="89"/>
      <c r="X403" s="2"/>
      <c r="Z403"/>
      <c r="AA403" s="2"/>
      <c r="AB403" s="2"/>
      <c r="AC403" s="127"/>
      <c r="AQ403"/>
    </row>
    <row r="404" spans="2:43" ht="15.75" thickBot="1" x14ac:dyDescent="0.3">
      <c r="C404" s="89"/>
      <c r="D404" s="89"/>
      <c r="W404" s="74"/>
      <c r="X404" s="2"/>
      <c r="Z404"/>
      <c r="AA404" s="2"/>
      <c r="AB404" s="2"/>
      <c r="AC404" s="127"/>
      <c r="AQ404"/>
    </row>
    <row r="405" spans="2:43" x14ac:dyDescent="0.25">
      <c r="B405" s="78" t="s">
        <v>1</v>
      </c>
      <c r="C405" s="88" t="s">
        <v>20</v>
      </c>
      <c r="D405" s="88"/>
      <c r="E405" s="154">
        <f>DATE(ref!E$2,B409,B407)</f>
        <v>44110</v>
      </c>
      <c r="F405" s="163" t="s">
        <v>19</v>
      </c>
      <c r="G405" s="155">
        <f t="shared" ref="G405:G411" si="319">IF(AND(J405="",H405=""),"",E405+H405)</f>
        <v>44110.375</v>
      </c>
      <c r="H405" s="29">
        <v>0.375</v>
      </c>
      <c r="I405" s="23">
        <f>SUM(V405+AA405+AC405)</f>
        <v>4.166666666666663E-2</v>
      </c>
      <c r="J405" s="29">
        <v>0.70833333333333337</v>
      </c>
      <c r="K405" s="46">
        <f t="shared" ref="K405:K411" si="320">IF(AND(H405="",J405=""),"",E405+J405+(H405&gt;J405))</f>
        <v>44110.708333333336</v>
      </c>
      <c r="L405" s="21">
        <f>IF(OR(F405="télétravail",F405="férié travaillé",F405="travail"),(J405-H405+IF(H405&gt;J405,1)-I405),INDEX(ref!$E$22:'ref'!$E$37,MATCH(F405,gerald3,0)))</f>
        <v>0</v>
      </c>
      <c r="M405" s="13">
        <f>IF(SUM(L405-ref!E$8)&lt;0,0,SUM(L405-ref!E$8))</f>
        <v>0</v>
      </c>
      <c r="N405" s="252">
        <f>L405-(hs!D404+hs!F404+hs!H404+hs!J404)</f>
        <v>-0.33333333333333337</v>
      </c>
      <c r="O405" s="8">
        <f>IF(OR(F405="férié travaillé",F405="travail",F405="asa",F405="rtt"),J405-H405+IF(H405&gt;J405,1),INDEX(ref!$E$22:'ref'!$E$37,MATCH(F405,gerald2,0)))</f>
        <v>0</v>
      </c>
      <c r="P405" s="14">
        <f>IF(SUM(O405-ref!E$4)&lt;0,0,SUM(O405-ref!E$4))</f>
        <v>0</v>
      </c>
      <c r="Q405" s="166">
        <f>L405</f>
        <v>0</v>
      </c>
      <c r="S405" s="136"/>
      <c r="T405" s="92">
        <v>0.52083333333333337</v>
      </c>
      <c r="U405" s="129">
        <v>0.5625</v>
      </c>
      <c r="V405" s="142">
        <f t="shared" ref="V405:V411" si="321">U405-T405</f>
        <v>4.166666666666663E-2</v>
      </c>
      <c r="W405" s="141">
        <f>IF(V405="","",IF(SUM(V405-ref!E$38)&gt;0,0,IF(V405=0, "0:00", SUM(V405-ref!E$38))))</f>
        <v>0</v>
      </c>
      <c r="X405" s="136"/>
      <c r="Y405" s="205"/>
      <c r="Z405" s="249"/>
      <c r="AA405" s="142">
        <f>Z405-Y405</f>
        <v>0</v>
      </c>
      <c r="AB405" s="244" t="str">
        <f>IF(AA405="","",IF(SUM(AA405-ref!E$38)&gt;0,0,IF(AA405=0, "0:00", SUM(AA405-ref!E$38))))</f>
        <v>0:00</v>
      </c>
      <c r="AC405" s="29"/>
      <c r="AD405" s="106"/>
      <c r="AE405" s="111">
        <f>SUM(AF405:AF411)</f>
        <v>5</v>
      </c>
      <c r="AF405" s="77">
        <f t="shared" ref="AF405:AF411" si="322">IF(AND(H405&lt;&gt;"",J405&lt;&gt;""),1,0+OR(N(J404)&lt;N(H404),F405="récupération",F405="congé 1 jour",F405="congé 1/2 jour ",F405="congé 5h24",F405="arrêt maladie",F405="arrêt travail",F405="férié ",F405="congé parentale",F405="congé de naissance"))</f>
        <v>1</v>
      </c>
      <c r="AG405" s="19"/>
      <c r="AH405" s="176" t="s">
        <v>71</v>
      </c>
      <c r="AI405" s="54" t="s">
        <v>68</v>
      </c>
      <c r="AJ405" s="177" t="s">
        <v>72</v>
      </c>
      <c r="AK405" s="55" cm="1">
        <f t="array" ref="AK405">IF(ISNUMBER(G406),G406-_xlfn.AGGREGATE(14,6,(K$4:K405&lt;G406)*K$4:K405,1),"")</f>
        <v>0.66666666666424135</v>
      </c>
      <c r="AL405" s="20">
        <f>IF(ISNUMBER(AK405),ABS(IF(SUM(AK405-ref!E$9)&gt;0,0,SUM(AK405-ref!E$9))),"")</f>
        <v>0</v>
      </c>
      <c r="AQ405"/>
    </row>
    <row r="406" spans="2:43" x14ac:dyDescent="0.25">
      <c r="B406" s="79" t="s">
        <v>1</v>
      </c>
      <c r="C406" s="88" t="s">
        <v>20</v>
      </c>
      <c r="D406" s="88"/>
      <c r="E406" s="154">
        <f t="shared" ref="E406:E411" si="323">E405+1</f>
        <v>44111</v>
      </c>
      <c r="F406" s="164" t="s">
        <v>19</v>
      </c>
      <c r="G406" s="155">
        <f t="shared" si="319"/>
        <v>44111.375</v>
      </c>
      <c r="H406" s="29">
        <v>0.375</v>
      </c>
      <c r="I406" s="23">
        <f t="shared" ref="I406:I411" si="324">SUM(V406+AA406+AC406)</f>
        <v>4.166666666666663E-2</v>
      </c>
      <c r="J406" s="29">
        <v>0.70833333333333337</v>
      </c>
      <c r="K406" s="46">
        <f t="shared" si="320"/>
        <v>44111.708333333336</v>
      </c>
      <c r="L406" s="21">
        <f>IF(OR(F406="télétravail",F406="férié travaillé",F406="travail"),(J406-H406+IF(H406&gt;J406,1)-I406),INDEX(ref!$E$22:'ref'!$E$37,MATCH(F406,gerald3,0)))</f>
        <v>0</v>
      </c>
      <c r="M406" s="13">
        <f>IF(SUM(L406-ref!E$8)&lt;0,0,SUM(L406-ref!E$8))</f>
        <v>0</v>
      </c>
      <c r="N406" s="252">
        <f>L406-(hs!D405+hs!F405+hs!H405+hs!J405)</f>
        <v>-0.33333333333333337</v>
      </c>
      <c r="O406" s="8">
        <f>IF(OR(F406="férié travaillé",F406="travail",F406="asa",F406="rtt"),J406-H406+IF(H406&gt;J406,1),INDEX(ref!$E$22:'ref'!$E$37,MATCH(F406,gerald2,0)))</f>
        <v>0</v>
      </c>
      <c r="P406" s="14">
        <f>IF(SUM(O406-ref!E$4)&lt;0,0,SUM(O406-ref!E$4))</f>
        <v>0</v>
      </c>
      <c r="Q406" s="98">
        <f t="shared" ref="Q406:Q411" si="325">Q405+L406</f>
        <v>0</v>
      </c>
      <c r="S406" s="137"/>
      <c r="T406" s="92">
        <v>0.52083333333333337</v>
      </c>
      <c r="U406" s="129">
        <v>0.5625</v>
      </c>
      <c r="V406" s="142">
        <f t="shared" si="321"/>
        <v>4.166666666666663E-2</v>
      </c>
      <c r="W406" s="141">
        <f>IF(V406="","",IF(SUM(V406-ref!E$38)&gt;0,0,IF(V406=0, "0:00", SUM(V406-ref!E$38))))</f>
        <v>0</v>
      </c>
      <c r="X406" s="137"/>
      <c r="Y406" s="92"/>
      <c r="Z406" s="247"/>
      <c r="AA406" s="142">
        <f t="shared" ref="AA406:AA411" si="326">Z406-Y406</f>
        <v>0</v>
      </c>
      <c r="AB406" s="245" t="str">
        <f>IF(AA406="","",IF(SUM(AA406-ref!E$38)&gt;0,0,IF(AA406=0, "0:00", SUM(AA406-ref!E$38))))</f>
        <v>0:00</v>
      </c>
      <c r="AC406" s="29"/>
      <c r="AD406" s="106"/>
      <c r="AE406" s="112">
        <f>IF(SUM(AE405-ref!E$7)&lt;0,0,SUM(AE405-ref!E$7))</f>
        <v>0</v>
      </c>
      <c r="AF406" s="77">
        <f t="shared" si="322"/>
        <v>1</v>
      </c>
      <c r="AG406" s="19"/>
      <c r="AH406" s="178" t="s">
        <v>72</v>
      </c>
      <c r="AI406" s="54" t="s">
        <v>68</v>
      </c>
      <c r="AJ406" s="177" t="s">
        <v>73</v>
      </c>
      <c r="AK406" s="55" cm="1">
        <f t="array" ref="AK406">IF(ISNUMBER(G407),G407-_xlfn.AGGREGATE(14,6,(K$4:K406&lt;G407)*K$4:K406,1),"")</f>
        <v>0.66666666666424135</v>
      </c>
      <c r="AL406" s="20">
        <f>IF(ISNUMBER(AK406),ABS(IF(SUM(AK406-ref!E$9)&gt;0,0,SUM(AK406-ref!E$9))),"")</f>
        <v>0</v>
      </c>
      <c r="AQ406"/>
    </row>
    <row r="407" spans="2:43" x14ac:dyDescent="0.25">
      <c r="B407" s="80">
        <v>7</v>
      </c>
      <c r="C407" s="88" t="s">
        <v>20</v>
      </c>
      <c r="D407" s="88"/>
      <c r="E407" s="154">
        <f t="shared" si="323"/>
        <v>44112</v>
      </c>
      <c r="F407" s="164" t="s">
        <v>19</v>
      </c>
      <c r="G407" s="155">
        <f t="shared" si="319"/>
        <v>44112.375</v>
      </c>
      <c r="H407" s="29">
        <v>0.375</v>
      </c>
      <c r="I407" s="23">
        <f t="shared" si="324"/>
        <v>4.166666666666663E-2</v>
      </c>
      <c r="J407" s="29">
        <v>0.70833333333333337</v>
      </c>
      <c r="K407" s="46">
        <f t="shared" si="320"/>
        <v>44112.708333333336</v>
      </c>
      <c r="L407" s="21">
        <f>IF(OR(F407="télétravail",F407="férié travaillé",F407="travail"),(J407-H407+IF(H407&gt;J407,1)-I407),INDEX(ref!$E$22:'ref'!$E$37,MATCH(F407,gerald3,0)))</f>
        <v>0</v>
      </c>
      <c r="M407" s="13">
        <f>IF(SUM(L407-ref!E$8)&lt;0,0,SUM(L407-ref!E$8))</f>
        <v>0</v>
      </c>
      <c r="N407" s="252">
        <f>L407-(hs!D406+hs!F406+hs!H406+hs!J406)</f>
        <v>-0.33333333333333337</v>
      </c>
      <c r="O407" s="8">
        <f>IF(OR(F407="férié travaillé",F407="travail",F407="asa",F407="rtt"),J407-H407+IF(H407&gt;J407,1),INDEX(ref!$E$22:'ref'!$E$37,MATCH(F407,gerald2,0)))</f>
        <v>0</v>
      </c>
      <c r="P407" s="14">
        <f>IF(SUM(O407-ref!E$4)&lt;0,0,SUM(O407-ref!E$4))</f>
        <v>0</v>
      </c>
      <c r="Q407" s="98">
        <f t="shared" si="325"/>
        <v>0</v>
      </c>
      <c r="S407" s="137"/>
      <c r="T407" s="92">
        <v>0.52083333333333337</v>
      </c>
      <c r="U407" s="129">
        <v>0.5625</v>
      </c>
      <c r="V407" s="142">
        <f t="shared" si="321"/>
        <v>4.166666666666663E-2</v>
      </c>
      <c r="W407" s="141">
        <f>IF(V407="","",IF(SUM(V407-ref!E$38)&gt;0,0,IF(V407=0, "0:00", SUM(V407-ref!E$38))))</f>
        <v>0</v>
      </c>
      <c r="X407" s="137"/>
      <c r="Y407" s="92"/>
      <c r="Z407" s="247"/>
      <c r="AA407" s="142">
        <f t="shared" si="326"/>
        <v>0</v>
      </c>
      <c r="AB407" s="245" t="str">
        <f>IF(AA407="","",IF(SUM(AA407-ref!E$38)&gt;0,0,IF(AA407=0, "0:00", SUM(AA407-ref!E$38))))</f>
        <v>0:00</v>
      </c>
      <c r="AC407" s="29"/>
      <c r="AD407" s="106"/>
      <c r="AE407" s="113" t="s">
        <v>29</v>
      </c>
      <c r="AF407" s="77">
        <f t="shared" si="322"/>
        <v>1</v>
      </c>
      <c r="AG407" s="19"/>
      <c r="AH407" s="178" t="s">
        <v>73</v>
      </c>
      <c r="AI407" s="54" t="s">
        <v>68</v>
      </c>
      <c r="AJ407" s="177" t="s">
        <v>74</v>
      </c>
      <c r="AK407" s="55" cm="1">
        <f t="array" ref="AK407">IF(ISNUMBER(G408),G408-_xlfn.AGGREGATE(14,6,(K$4:K407&lt;G408)*K$4:K407,1),"")</f>
        <v>0.66666666666424135</v>
      </c>
      <c r="AL407" s="20">
        <f>IF(ISNUMBER(AK407),ABS(IF(SUM(AK407-ref!E$9)&gt;0,0,SUM(AK407-ref!E$9))),"")</f>
        <v>0</v>
      </c>
      <c r="AQ407"/>
    </row>
    <row r="408" spans="2:43" x14ac:dyDescent="0.25">
      <c r="B408" s="79" t="s">
        <v>58</v>
      </c>
      <c r="C408" s="88" t="s">
        <v>20</v>
      </c>
      <c r="D408" s="88"/>
      <c r="E408" s="154">
        <f t="shared" si="323"/>
        <v>44113</v>
      </c>
      <c r="F408" s="164" t="s">
        <v>19</v>
      </c>
      <c r="G408" s="155">
        <f t="shared" si="319"/>
        <v>44113.375</v>
      </c>
      <c r="H408" s="29">
        <v>0.375</v>
      </c>
      <c r="I408" s="23">
        <f t="shared" si="324"/>
        <v>4.166666666666663E-2</v>
      </c>
      <c r="J408" s="29">
        <v>0.70833333333333337</v>
      </c>
      <c r="K408" s="46">
        <f t="shared" si="320"/>
        <v>44113.708333333336</v>
      </c>
      <c r="L408" s="21">
        <f>IF(OR(F408="télétravail",F408="férié travaillé",F408="travail"),(J408-H408+IF(H408&gt;J408,1)-I408),INDEX(ref!$E$22:'ref'!$E$37,MATCH(F408,gerald3,0)))</f>
        <v>0</v>
      </c>
      <c r="M408" s="13">
        <f>IF(SUM(L408-ref!E$8)&lt;0,0,SUM(L408-ref!E$8))</f>
        <v>0</v>
      </c>
      <c r="N408" s="252">
        <f>L408-(hs!D407+hs!F407+hs!H407+hs!J407)</f>
        <v>-0.33333333333333337</v>
      </c>
      <c r="O408" s="8">
        <f>IF(OR(F408="férié travaillé",F408="travail",F408="asa",F408="rtt"),J408-H408+IF(H408&gt;J408,1),INDEX(ref!$E$22:'ref'!$E$37,MATCH(F408,gerald2,0)))</f>
        <v>0</v>
      </c>
      <c r="P408" s="14">
        <f>IF(SUM(O408-ref!E$4)&lt;0,0,SUM(O408-ref!E$4))</f>
        <v>0</v>
      </c>
      <c r="Q408" s="97">
        <f t="shared" si="325"/>
        <v>0</v>
      </c>
      <c r="S408" s="137"/>
      <c r="T408" s="92">
        <v>0.52083333333333337</v>
      </c>
      <c r="U408" s="129">
        <v>0.5625</v>
      </c>
      <c r="V408" s="142">
        <f t="shared" si="321"/>
        <v>4.166666666666663E-2</v>
      </c>
      <c r="W408" s="141">
        <f>IF(V408="","",IF(SUM(V408-ref!E$38)&gt;0,0,IF(V408=0, "0:00", SUM(V408-ref!E$38))))</f>
        <v>0</v>
      </c>
      <c r="X408" s="137"/>
      <c r="Y408" s="92"/>
      <c r="Z408" s="247"/>
      <c r="AA408" s="142">
        <f t="shared" si="326"/>
        <v>0</v>
      </c>
      <c r="AB408" s="245" t="str">
        <f>IF(AA408="","",IF(SUM(AA408-ref!E$38)&gt;0,0,IF(AA408=0, "0:00", SUM(AA408-ref!E$38))))</f>
        <v>0:00</v>
      </c>
      <c r="AC408" s="29"/>
      <c r="AD408" s="106"/>
      <c r="AE408" s="114">
        <f>Q411</f>
        <v>0</v>
      </c>
      <c r="AF408" s="77">
        <f t="shared" si="322"/>
        <v>1</v>
      </c>
      <c r="AG408" s="19"/>
      <c r="AH408" s="178" t="s">
        <v>74</v>
      </c>
      <c r="AI408" s="54" t="s">
        <v>68</v>
      </c>
      <c r="AJ408" s="177" t="s">
        <v>75</v>
      </c>
      <c r="AK408" s="55" cm="1">
        <f t="array" ref="AK408">IF(ISNUMBER(G409),G409-_xlfn.AGGREGATE(14,6,(K$4:K408&lt;G409)*K$4:K408,1),"")</f>
        <v>0.66666666666424135</v>
      </c>
      <c r="AL408" s="20">
        <f>IF(ISNUMBER(AK408),ABS(IF(SUM(AK408-ref!E$9)&gt;0,0,SUM(AK408-ref!E$9))),"")</f>
        <v>0</v>
      </c>
      <c r="AQ408"/>
    </row>
    <row r="409" spans="2:43" x14ac:dyDescent="0.25">
      <c r="B409" s="81">
        <v>10</v>
      </c>
      <c r="C409" s="88" t="s">
        <v>20</v>
      </c>
      <c r="D409" s="88"/>
      <c r="E409" s="154">
        <f t="shared" si="323"/>
        <v>44114</v>
      </c>
      <c r="F409" s="164" t="s">
        <v>19</v>
      </c>
      <c r="G409" s="155">
        <f t="shared" si="319"/>
        <v>44114.375</v>
      </c>
      <c r="H409" s="29">
        <v>0.375</v>
      </c>
      <c r="I409" s="23">
        <f t="shared" si="324"/>
        <v>4.166666666666663E-2</v>
      </c>
      <c r="J409" s="29">
        <v>0.70833333333333337</v>
      </c>
      <c r="K409" s="46">
        <f t="shared" si="320"/>
        <v>44114.708333333336</v>
      </c>
      <c r="L409" s="21">
        <f>IF(OR(F409="télétravail",F409="férié travaillé",F409="travail"),(J409-H409+IF(H409&gt;J409,1)-I409),INDEX(ref!$E$22:'ref'!$E$37,MATCH(F409,gerald3,0)))</f>
        <v>0</v>
      </c>
      <c r="M409" s="13">
        <f>IF(SUM(L409-ref!E$8)&lt;0,0,SUM(L409-ref!E$8))</f>
        <v>0</v>
      </c>
      <c r="N409" s="252">
        <f>L409-(hs!D408+hs!F408+hs!H408+hs!J408)</f>
        <v>-0.33333333333333337</v>
      </c>
      <c r="O409" s="8">
        <f>IF(OR(F409="férié travaillé",F409="travail",F409="asa",F409="rtt"),J409-H409+IF(H409&gt;J409,1),INDEX(ref!$E$22:'ref'!$E$37,MATCH(F409,gerald2,0)))</f>
        <v>0</v>
      </c>
      <c r="P409" s="14">
        <f>IF(SUM(O409-ref!E$4)&lt;0,0,SUM(O409-ref!E$4))</f>
        <v>0</v>
      </c>
      <c r="Q409" s="24">
        <f t="shared" si="325"/>
        <v>0</v>
      </c>
      <c r="S409" s="137"/>
      <c r="T409" s="92">
        <v>0.52083333333333337</v>
      </c>
      <c r="U409" s="129">
        <v>0.5625</v>
      </c>
      <c r="V409" s="142">
        <f t="shared" si="321"/>
        <v>4.166666666666663E-2</v>
      </c>
      <c r="W409" s="141">
        <f>IF(V409="","",IF(SUM(V409-ref!E$38)&gt;0,0,IF(V409=0, "0:00", SUM(V409-ref!E$38))))</f>
        <v>0</v>
      </c>
      <c r="X409" s="137"/>
      <c r="Y409" s="92"/>
      <c r="Z409" s="247"/>
      <c r="AA409" s="142">
        <f t="shared" si="326"/>
        <v>0</v>
      </c>
      <c r="AB409" s="245" t="str">
        <f>IF(AA409="","",IF(SUM(AA409-ref!E$38)&gt;0,0,IF(AA409=0, "0:00", SUM(AA409-ref!E$38))))</f>
        <v>0:00</v>
      </c>
      <c r="AC409" s="29"/>
      <c r="AD409" s="106"/>
      <c r="AE409" s="117" t="s">
        <v>47</v>
      </c>
      <c r="AF409" s="77">
        <f t="shared" si="322"/>
        <v>1</v>
      </c>
      <c r="AG409" s="19"/>
      <c r="AH409" s="178" t="s">
        <v>75</v>
      </c>
      <c r="AI409" s="54" t="s">
        <v>68</v>
      </c>
      <c r="AJ409" s="177" t="s">
        <v>76</v>
      </c>
      <c r="AK409" s="55" t="str" cm="1">
        <f t="array" ref="AK409">IF(ISNUMBER(G410),G410-_xlfn.AGGREGATE(14,6,(K$4:K409&lt;G410)*K$4:K409,1),"")</f>
        <v/>
      </c>
      <c r="AL409" s="20" t="str">
        <f>IF(ISNUMBER(AK409),ABS(IF(SUM(AK409-ref!E$9)&gt;0,0,SUM(AK409-ref!E$9))),"")</f>
        <v/>
      </c>
      <c r="AQ409"/>
    </row>
    <row r="410" spans="2:43" ht="15.75" thickBot="1" x14ac:dyDescent="0.3">
      <c r="B410"/>
      <c r="C410" s="89"/>
      <c r="D410" s="89"/>
      <c r="E410" s="154">
        <f t="shared" si="323"/>
        <v>44115</v>
      </c>
      <c r="F410" s="164" t="s">
        <v>19</v>
      </c>
      <c r="G410" s="155" t="str">
        <f t="shared" si="319"/>
        <v/>
      </c>
      <c r="H410" s="29"/>
      <c r="I410" s="23">
        <f t="shared" si="324"/>
        <v>0</v>
      </c>
      <c r="J410" s="29"/>
      <c r="K410" s="46" t="str">
        <f t="shared" si="320"/>
        <v/>
      </c>
      <c r="L410" s="21">
        <f>IF(OR(F410="télétravail",F410="férié travaillé",F410="travail"),(J410-H410+IF(H410&gt;J410,1)-I410),INDEX(ref!$E$22:'ref'!$E$37,MATCH(F410,gerald3,0)))</f>
        <v>0</v>
      </c>
      <c r="M410" s="13">
        <f>IF(SUM(L410-ref!E$8)&lt;0,0,SUM(L410-ref!E$8))</f>
        <v>0</v>
      </c>
      <c r="N410" s="252">
        <f>L410-(hs!D409+hs!F409+hs!H409+hs!J409)</f>
        <v>0</v>
      </c>
      <c r="O410" s="8">
        <f>IF(OR(F410="férié travaillé",F410="travail",F410="asa",F410="rtt"),J410-H410+IF(H410&gt;J410,1),INDEX(ref!$E$22:'ref'!$E$37,MATCH(F410,gerald2,0)))</f>
        <v>0</v>
      </c>
      <c r="P410" s="14">
        <f>IF(SUM(O410-ref!E$4)&lt;0,0,SUM(O410-ref!E$4))</f>
        <v>0</v>
      </c>
      <c r="Q410" s="97">
        <f t="shared" si="325"/>
        <v>0</v>
      </c>
      <c r="S410" s="137"/>
      <c r="T410" s="92"/>
      <c r="U410" s="129"/>
      <c r="V410" s="142">
        <f t="shared" si="321"/>
        <v>0</v>
      </c>
      <c r="W410" s="141" t="str">
        <f>IF(V410="","",IF(SUM(V410-ref!E$38)&gt;0,0,IF(V410=0, "0:00", SUM(V410-ref!E$38))))</f>
        <v>0:00</v>
      </c>
      <c r="X410" s="137"/>
      <c r="Y410" s="92"/>
      <c r="Z410" s="247"/>
      <c r="AA410" s="142">
        <f t="shared" si="326"/>
        <v>0</v>
      </c>
      <c r="AB410" s="245" t="str">
        <f>IF(AA410="","",IF(SUM(AA410-ref!E$38)&gt;0,0,IF(AA410=0, "0:00", SUM(AA410-ref!E$38))))</f>
        <v>0:00</v>
      </c>
      <c r="AC410" s="29"/>
      <c r="AD410" s="106"/>
      <c r="AE410" s="118">
        <f>ref!E$11</f>
        <v>2</v>
      </c>
      <c r="AF410" s="77">
        <f t="shared" si="322"/>
        <v>0</v>
      </c>
      <c r="AG410" s="19"/>
      <c r="AH410" s="178" t="s">
        <v>76</v>
      </c>
      <c r="AI410" s="54" t="s">
        <v>68</v>
      </c>
      <c r="AJ410" s="177" t="s">
        <v>77</v>
      </c>
      <c r="AK410" s="55" t="str" cm="1">
        <f t="array" ref="AK410">IF(ISNUMBER(G411),G411-_xlfn.AGGREGATE(14,6,(K$4:K410&lt;G411)*K$4:K410,1),"")</f>
        <v/>
      </c>
      <c r="AL410" s="20" t="str">
        <f>IF(ISNUMBER(AK410),ABS(IF(SUM(AK410-ref!E$9)&gt;0,0,SUM(AK410-ref!E$9))),"")</f>
        <v/>
      </c>
      <c r="AQ410"/>
    </row>
    <row r="411" spans="2:43" ht="15.75" thickBot="1" x14ac:dyDescent="0.3">
      <c r="B411"/>
      <c r="C411" s="89"/>
      <c r="D411" s="89"/>
      <c r="E411" s="154">
        <f t="shared" si="323"/>
        <v>44116</v>
      </c>
      <c r="F411" s="165" t="s">
        <v>19</v>
      </c>
      <c r="G411" s="155" t="str">
        <f t="shared" si="319"/>
        <v/>
      </c>
      <c r="H411" s="29"/>
      <c r="I411" s="23">
        <f t="shared" si="324"/>
        <v>0</v>
      </c>
      <c r="J411" s="29"/>
      <c r="K411" s="46" t="str">
        <f t="shared" si="320"/>
        <v/>
      </c>
      <c r="L411" s="21">
        <f>IF(OR(F411="télétravail",F411="férié travaillé",F411="travail"),(J411-H411+IF(H411&gt;J411,1)-I411),INDEX(ref!$E$22:'ref'!$E$37,MATCH(F411,gerald3,0)))</f>
        <v>0</v>
      </c>
      <c r="M411" s="13">
        <f>IF(SUM(L411-ref!E$8)&lt;0,0,SUM(L411-ref!E$8))</f>
        <v>0</v>
      </c>
      <c r="N411" s="252">
        <f>L411-(hs!D410+hs!F410+hs!H410+hs!J410)</f>
        <v>0</v>
      </c>
      <c r="O411" s="8">
        <f>IF(OR(F411="férié travaillé",F411="travail",F411="asa",F411="rtt"),J411-H411+IF(H411&gt;J411,1),INDEX(ref!$E$22:'ref'!$E$37,MATCH(F411,gerald2,0)))</f>
        <v>0</v>
      </c>
      <c r="P411" s="14">
        <f>IF(SUM(O411-ref!E$4)&lt;0,0,SUM(O411-ref!E$4))</f>
        <v>0</v>
      </c>
      <c r="Q411" s="94">
        <f t="shared" si="325"/>
        <v>0</v>
      </c>
      <c r="S411" s="138"/>
      <c r="T411" s="92"/>
      <c r="U411" s="129"/>
      <c r="V411" s="142">
        <f t="shared" si="321"/>
        <v>0</v>
      </c>
      <c r="W411" s="141" t="str">
        <f>IF(V411="","",IF(SUM(V411-ref!E$38)&gt;0,0,IF(V411=0, "0:00", SUM(V411-ref!E$38))))</f>
        <v>0:00</v>
      </c>
      <c r="X411" s="138"/>
      <c r="Y411" s="92"/>
      <c r="Z411" s="247"/>
      <c r="AA411" s="142">
        <f t="shared" si="326"/>
        <v>0</v>
      </c>
      <c r="AB411" s="246" t="str">
        <f>IF(AA411="","",IF(SUM(AA411-ref!E$38)&gt;0,0,IF(AA411=0, "0:00", SUM(AA411-ref!E$38))))</f>
        <v>0:00</v>
      </c>
      <c r="AC411" s="29"/>
      <c r="AD411" s="106"/>
      <c r="AE411" s="110">
        <f>IF(SUM(Q411-ref!E$11)&lt;0,0,SUM(Q411-ref!E$11))</f>
        <v>0</v>
      </c>
      <c r="AF411" s="77">
        <f t="shared" si="322"/>
        <v>0</v>
      </c>
      <c r="AG411" s="19"/>
      <c r="AQ411"/>
    </row>
    <row r="412" spans="2:43" x14ac:dyDescent="0.25">
      <c r="C412" s="89"/>
      <c r="D412" s="89"/>
      <c r="W412" s="74"/>
      <c r="X412" s="2"/>
      <c r="Z412"/>
      <c r="AA412" s="2"/>
      <c r="AB412" s="2"/>
      <c r="AC412" s="127"/>
      <c r="AQ412"/>
    </row>
    <row r="413" spans="2:43" x14ac:dyDescent="0.25">
      <c r="C413" s="89"/>
      <c r="D413" s="89"/>
      <c r="X413" s="2"/>
      <c r="Z413"/>
      <c r="AA413" s="2"/>
      <c r="AB413" s="2"/>
      <c r="AC413" s="127"/>
      <c r="AQ413"/>
    </row>
    <row r="414" spans="2:43" ht="15.75" thickBot="1" x14ac:dyDescent="0.3">
      <c r="C414" s="89"/>
      <c r="D414" s="89"/>
      <c r="W414" s="74"/>
      <c r="X414" s="2"/>
      <c r="Z414"/>
      <c r="AA414" s="2"/>
      <c r="AB414" s="2"/>
      <c r="AC414" s="127"/>
      <c r="AQ414"/>
    </row>
    <row r="415" spans="2:43" x14ac:dyDescent="0.25">
      <c r="B415" s="78" t="s">
        <v>1</v>
      </c>
      <c r="C415" s="88" t="s">
        <v>20</v>
      </c>
      <c r="D415" s="88"/>
      <c r="E415" s="154">
        <f>DATE(ref!E$2,B419,B417)</f>
        <v>44117</v>
      </c>
      <c r="F415" s="163" t="s">
        <v>20</v>
      </c>
      <c r="G415" s="155">
        <f t="shared" ref="G415:G421" si="327">IF(AND(J415="",H415=""),"",E415+H415)</f>
        <v>44117.375</v>
      </c>
      <c r="H415" s="29">
        <v>0.375</v>
      </c>
      <c r="I415" s="23">
        <f>SUM(V415+AA415+AC415)</f>
        <v>4.166666666666663E-2</v>
      </c>
      <c r="J415" s="29">
        <v>0.70833333333333337</v>
      </c>
      <c r="K415" s="46">
        <f t="shared" ref="K415:K421" si="328">IF(AND(H415="",J415=""),"",E415+J415+(H415&gt;J415))</f>
        <v>44117.708333333336</v>
      </c>
      <c r="L415" s="21">
        <f>IF(OR(F415="télétravail",F415="férié travaillé",F415="travail"),(J415-H415+IF(H415&gt;J415,1)-I415),INDEX(ref!$E$22:'ref'!$E$37,MATCH(F415,gerald3,0)))</f>
        <v>0.29166666666666674</v>
      </c>
      <c r="M415" s="13">
        <f>IF(SUM(L415-ref!E$8)&lt;0,0,SUM(L415-ref!E$8))</f>
        <v>0</v>
      </c>
      <c r="N415" s="252">
        <f>L415-(hs!D414+hs!F414+hs!H414+hs!J414)</f>
        <v>-4.166666666666663E-2</v>
      </c>
      <c r="O415" s="8">
        <f>IF(OR(F415="férié travaillé",F415="travail",F415="asa",F415="rtt"),J415-H415+IF(H415&gt;J415,1),INDEX(ref!$E$22:'ref'!$E$37,MATCH(F415,gerald2,0)))</f>
        <v>0.33333333333333337</v>
      </c>
      <c r="P415" s="14">
        <f>IF(SUM(O415-ref!E$4)&lt;0,0,SUM(O415-ref!E$4))</f>
        <v>0</v>
      </c>
      <c r="Q415" s="166">
        <f>L415</f>
        <v>0.29166666666666674</v>
      </c>
      <c r="S415" s="136"/>
      <c r="T415" s="92">
        <v>0.52083333333333337</v>
      </c>
      <c r="U415" s="129">
        <v>0.5625</v>
      </c>
      <c r="V415" s="142">
        <f t="shared" ref="V415:V421" si="329">U415-T415</f>
        <v>4.166666666666663E-2</v>
      </c>
      <c r="W415" s="141">
        <f>IF(V415="","",IF(SUM(V415-ref!E$38)&gt;0,0,IF(V415=0, "0:00", SUM(V415-ref!E$38))))</f>
        <v>0</v>
      </c>
      <c r="X415" s="136"/>
      <c r="Y415" s="92"/>
      <c r="Z415" s="247"/>
      <c r="AA415" s="142">
        <f>Z415-Y415</f>
        <v>0</v>
      </c>
      <c r="AB415" s="244" t="str">
        <f>IF(AA415="","",IF(SUM(AA415-ref!E$38)&gt;0,0,IF(AA415=0, "0:00", SUM(AA415-ref!E$38))))</f>
        <v>0:00</v>
      </c>
      <c r="AC415" s="29"/>
      <c r="AD415" s="106"/>
      <c r="AE415" s="111">
        <f>SUM(AF415:AF421)</f>
        <v>5</v>
      </c>
      <c r="AF415" s="77">
        <f t="shared" ref="AF415:AF421" si="330">IF(AND(H415&lt;&gt;"",J415&lt;&gt;""),1,0+OR(N(J414)&lt;N(H414),F415="récupération",F415="congé 1 jour",F415="congé 1/2 jour ",F415="congé 5h24",F415="arrêt maladie",F415="arrêt travail",F415="férié ",F415="congé parentale",F415="congé de naissance"))</f>
        <v>1</v>
      </c>
      <c r="AG415" s="19"/>
      <c r="AH415" s="176" t="s">
        <v>71</v>
      </c>
      <c r="AI415" s="54" t="s">
        <v>68</v>
      </c>
      <c r="AJ415" s="177" t="s">
        <v>72</v>
      </c>
      <c r="AK415" s="55" cm="1">
        <f t="array" ref="AK415">IF(ISNUMBER(G416),G416-_xlfn.AGGREGATE(14,6,(K$4:K415&lt;G416)*K$4:K415,1),"")</f>
        <v>0.66666666666424135</v>
      </c>
      <c r="AL415" s="20">
        <f>IF(ISNUMBER(AK415),ABS(IF(SUM(AK415-ref!E$9)&gt;0,0,SUM(AK415-ref!E$9))),"")</f>
        <v>0</v>
      </c>
      <c r="AQ415"/>
    </row>
    <row r="416" spans="2:43" x14ac:dyDescent="0.25">
      <c r="B416" s="79" t="s">
        <v>1</v>
      </c>
      <c r="C416" s="88" t="s">
        <v>20</v>
      </c>
      <c r="D416" s="88"/>
      <c r="E416" s="154">
        <f t="shared" ref="E416:E421" si="331">E415+1</f>
        <v>44118</v>
      </c>
      <c r="F416" s="164" t="s">
        <v>20</v>
      </c>
      <c r="G416" s="155">
        <f t="shared" si="327"/>
        <v>44118.375</v>
      </c>
      <c r="H416" s="29">
        <v>0.375</v>
      </c>
      <c r="I416" s="23">
        <f t="shared" ref="I416:I421" si="332">SUM(V416+AA416+AC416)</f>
        <v>4.166666666666663E-2</v>
      </c>
      <c r="J416" s="29">
        <v>0.70833333333333337</v>
      </c>
      <c r="K416" s="46">
        <f t="shared" si="328"/>
        <v>44118.708333333336</v>
      </c>
      <c r="L416" s="21">
        <f>IF(OR(F416="télétravail",F416="férié travaillé",F416="travail"),(J416-H416+IF(H416&gt;J416,1)-I416),INDEX(ref!$E$22:'ref'!$E$37,MATCH(F416,gerald3,0)))</f>
        <v>0.29166666666666674</v>
      </c>
      <c r="M416" s="13">
        <f>IF(SUM(L416-ref!E$8)&lt;0,0,SUM(L416-ref!E$8))</f>
        <v>0</v>
      </c>
      <c r="N416" s="252">
        <f>L416-(hs!D415+hs!F415+hs!H415+hs!J415)</f>
        <v>-4.166666666666663E-2</v>
      </c>
      <c r="O416" s="8">
        <f>IF(OR(F416="férié travaillé",F416="travail",F416="asa",F416="rtt"),J416-H416+IF(H416&gt;J416,1),INDEX(ref!$E$22:'ref'!$E$37,MATCH(F416,gerald2,0)))</f>
        <v>0.33333333333333337</v>
      </c>
      <c r="P416" s="14">
        <f>IF(SUM(O416-ref!E$4)&lt;0,0,SUM(O416-ref!E$4))</f>
        <v>0</v>
      </c>
      <c r="Q416" s="98">
        <f t="shared" ref="Q416:Q421" si="333">Q415+L416</f>
        <v>0.58333333333333348</v>
      </c>
      <c r="S416" s="137"/>
      <c r="T416" s="92">
        <v>0.52083333333333337</v>
      </c>
      <c r="U416" s="129">
        <v>0.5625</v>
      </c>
      <c r="V416" s="142">
        <f t="shared" si="329"/>
        <v>4.166666666666663E-2</v>
      </c>
      <c r="W416" s="141">
        <f>IF(V416="","",IF(SUM(V416-ref!E$38)&gt;0,0,IF(V416=0, "0:00", SUM(V416-ref!E$38))))</f>
        <v>0</v>
      </c>
      <c r="X416" s="137"/>
      <c r="Y416" s="92"/>
      <c r="Z416" s="247"/>
      <c r="AA416" s="142">
        <f t="shared" ref="AA416:AA421" si="334">Z416-Y416</f>
        <v>0</v>
      </c>
      <c r="AB416" s="245" t="str">
        <f>IF(AA416="","",IF(SUM(AA416-ref!E$38)&gt;0,0,IF(AA416=0, "0:00", SUM(AA416-ref!E$38))))</f>
        <v>0:00</v>
      </c>
      <c r="AC416" s="29"/>
      <c r="AD416" s="106"/>
      <c r="AE416" s="112">
        <f>IF(SUM(AE415-ref!E$7)&lt;0,0,SUM(AE415-ref!E$7))</f>
        <v>0</v>
      </c>
      <c r="AF416" s="77">
        <f t="shared" si="330"/>
        <v>1</v>
      </c>
      <c r="AG416" s="19"/>
      <c r="AH416" s="178" t="s">
        <v>72</v>
      </c>
      <c r="AI416" s="54" t="s">
        <v>68</v>
      </c>
      <c r="AJ416" s="177" t="s">
        <v>73</v>
      </c>
      <c r="AK416" s="55" cm="1">
        <f t="array" ref="AK416">IF(ISNUMBER(G417),G417-_xlfn.AGGREGATE(14,6,(K$4:K416&lt;G417)*K$4:K416,1),"")</f>
        <v>0.66666666666424135</v>
      </c>
      <c r="AL416" s="20">
        <f>IF(ISNUMBER(AK416),ABS(IF(SUM(AK416-ref!E$9)&gt;0,0,SUM(AK416-ref!E$9))),"")</f>
        <v>0</v>
      </c>
      <c r="AQ416"/>
    </row>
    <row r="417" spans="2:43" x14ac:dyDescent="0.25">
      <c r="B417" s="80">
        <v>14</v>
      </c>
      <c r="C417" s="88" t="s">
        <v>20</v>
      </c>
      <c r="D417" s="88"/>
      <c r="E417" s="154">
        <f t="shared" si="331"/>
        <v>44119</v>
      </c>
      <c r="F417" s="164" t="s">
        <v>20</v>
      </c>
      <c r="G417" s="155">
        <f t="shared" si="327"/>
        <v>44119.375</v>
      </c>
      <c r="H417" s="29">
        <v>0.375</v>
      </c>
      <c r="I417" s="23">
        <f t="shared" si="332"/>
        <v>4.166666666666663E-2</v>
      </c>
      <c r="J417" s="29">
        <v>0.70833333333333337</v>
      </c>
      <c r="K417" s="46">
        <f t="shared" si="328"/>
        <v>44119.708333333336</v>
      </c>
      <c r="L417" s="21">
        <f>IF(OR(F417="télétravail",F417="férié travaillé",F417="travail"),(J417-H417+IF(H417&gt;J417,1)-I417),INDEX(ref!$E$22:'ref'!$E$37,MATCH(F417,gerald3,0)))</f>
        <v>0.29166666666666674</v>
      </c>
      <c r="M417" s="13">
        <f>IF(SUM(L417-ref!E$8)&lt;0,0,SUM(L417-ref!E$8))</f>
        <v>0</v>
      </c>
      <c r="N417" s="252">
        <f>L417-(hs!D416+hs!F416+hs!H416+hs!J416)</f>
        <v>-4.166666666666663E-2</v>
      </c>
      <c r="O417" s="8">
        <f>IF(OR(F417="férié travaillé",F417="travail",F417="asa",F417="rtt"),J417-H417+IF(H417&gt;J417,1),INDEX(ref!$E$22:'ref'!$E$37,MATCH(F417,gerald2,0)))</f>
        <v>0.33333333333333337</v>
      </c>
      <c r="P417" s="14">
        <f>IF(SUM(O417-ref!E$4)&lt;0,0,SUM(O417-ref!E$4))</f>
        <v>0</v>
      </c>
      <c r="Q417" s="98">
        <f t="shared" si="333"/>
        <v>0.87500000000000022</v>
      </c>
      <c r="S417" s="137"/>
      <c r="T417" s="92">
        <v>0.52083333333333337</v>
      </c>
      <c r="U417" s="129">
        <v>0.5625</v>
      </c>
      <c r="V417" s="142">
        <f t="shared" si="329"/>
        <v>4.166666666666663E-2</v>
      </c>
      <c r="W417" s="141">
        <f>IF(V417="","",IF(SUM(V417-ref!E$38)&gt;0,0,IF(V417=0, "0:00", SUM(V417-ref!E$38))))</f>
        <v>0</v>
      </c>
      <c r="X417" s="137"/>
      <c r="Y417" s="92"/>
      <c r="Z417" s="247"/>
      <c r="AA417" s="142">
        <f t="shared" si="334"/>
        <v>0</v>
      </c>
      <c r="AB417" s="245" t="str">
        <f>IF(AA417="","",IF(SUM(AA417-ref!E$38)&gt;0,0,IF(AA417=0, "0:00", SUM(AA417-ref!E$38))))</f>
        <v>0:00</v>
      </c>
      <c r="AC417" s="29"/>
      <c r="AD417" s="106"/>
      <c r="AE417" s="113" t="s">
        <v>29</v>
      </c>
      <c r="AF417" s="77">
        <f t="shared" si="330"/>
        <v>1</v>
      </c>
      <c r="AG417" s="19"/>
      <c r="AH417" s="178" t="s">
        <v>73</v>
      </c>
      <c r="AI417" s="54" t="s">
        <v>68</v>
      </c>
      <c r="AJ417" s="177" t="s">
        <v>74</v>
      </c>
      <c r="AK417" s="55" cm="1">
        <f t="array" ref="AK417">IF(ISNUMBER(G418),G418-_xlfn.AGGREGATE(14,6,(K$4:K417&lt;G418)*K$4:K417,1),"")</f>
        <v>0.66666666666424135</v>
      </c>
      <c r="AL417" s="20">
        <f>IF(ISNUMBER(AK417),ABS(IF(SUM(AK417-ref!E$9)&gt;0,0,SUM(AK417-ref!E$9))),"")</f>
        <v>0</v>
      </c>
      <c r="AQ417"/>
    </row>
    <row r="418" spans="2:43" x14ac:dyDescent="0.25">
      <c r="B418" s="79" t="s">
        <v>58</v>
      </c>
      <c r="C418" s="88" t="s">
        <v>20</v>
      </c>
      <c r="D418" s="88"/>
      <c r="E418" s="154">
        <f t="shared" si="331"/>
        <v>44120</v>
      </c>
      <c r="F418" s="164" t="s">
        <v>20</v>
      </c>
      <c r="G418" s="155">
        <f t="shared" si="327"/>
        <v>44120.375</v>
      </c>
      <c r="H418" s="29">
        <v>0.375</v>
      </c>
      <c r="I418" s="23">
        <f t="shared" si="332"/>
        <v>4.166666666666663E-2</v>
      </c>
      <c r="J418" s="29">
        <v>0.70833333333333337</v>
      </c>
      <c r="K418" s="46">
        <f t="shared" si="328"/>
        <v>44120.708333333336</v>
      </c>
      <c r="L418" s="21">
        <f>IF(OR(F418="télétravail",F418="férié travaillé",F418="travail"),(J418-H418+IF(H418&gt;J418,1)-I418),INDEX(ref!$E$22:'ref'!$E$37,MATCH(F418,gerald3,0)))</f>
        <v>0.29166666666666674</v>
      </c>
      <c r="M418" s="13">
        <f>IF(SUM(L418-ref!E$8)&lt;0,0,SUM(L418-ref!E$8))</f>
        <v>0</v>
      </c>
      <c r="N418" s="252">
        <f>L418-(hs!D417+hs!F417+hs!H417+hs!J417)</f>
        <v>-4.166666666666663E-2</v>
      </c>
      <c r="O418" s="8">
        <f>IF(OR(F418="férié travaillé",F418="travail",F418="asa",F418="rtt"),J418-H418+IF(H418&gt;J418,1),INDEX(ref!$E$22:'ref'!$E$37,MATCH(F418,gerald2,0)))</f>
        <v>0.33333333333333337</v>
      </c>
      <c r="P418" s="14">
        <f>IF(SUM(O418-ref!E$4)&lt;0,0,SUM(O418-ref!E$4))</f>
        <v>0</v>
      </c>
      <c r="Q418" s="98">
        <f t="shared" si="333"/>
        <v>1.166666666666667</v>
      </c>
      <c r="S418" s="137"/>
      <c r="T418" s="92">
        <v>0.52083333333333337</v>
      </c>
      <c r="U418" s="129">
        <v>0.5625</v>
      </c>
      <c r="V418" s="142">
        <f t="shared" si="329"/>
        <v>4.166666666666663E-2</v>
      </c>
      <c r="W418" s="141">
        <f>IF(V418="","",IF(SUM(V418-ref!E$38)&gt;0,0,IF(V418=0, "0:00", SUM(V418-ref!E$38))))</f>
        <v>0</v>
      </c>
      <c r="X418" s="137"/>
      <c r="Y418" s="92"/>
      <c r="Z418" s="247"/>
      <c r="AA418" s="142">
        <f t="shared" si="334"/>
        <v>0</v>
      </c>
      <c r="AB418" s="245" t="str">
        <f>IF(AA418="","",IF(SUM(AA418-ref!E$38)&gt;0,0,IF(AA418=0, "0:00", SUM(AA418-ref!E$38))))</f>
        <v>0:00</v>
      </c>
      <c r="AC418" s="29"/>
      <c r="AD418" s="106"/>
      <c r="AE418" s="114">
        <f>Q421</f>
        <v>1.4583333333333337</v>
      </c>
      <c r="AF418" s="77">
        <f t="shared" si="330"/>
        <v>1</v>
      </c>
      <c r="AG418" s="19"/>
      <c r="AH418" s="178" t="s">
        <v>74</v>
      </c>
      <c r="AI418" s="54" t="s">
        <v>68</v>
      </c>
      <c r="AJ418" s="177" t="s">
        <v>75</v>
      </c>
      <c r="AK418" s="55" cm="1">
        <f t="array" ref="AK418">IF(ISNUMBER(G419),G419-_xlfn.AGGREGATE(14,6,(K$4:K418&lt;G419)*K$4:K418,1),"")</f>
        <v>0.66666666666424135</v>
      </c>
      <c r="AL418" s="20">
        <f>IF(ISNUMBER(AK418),ABS(IF(SUM(AK418-ref!E$9)&gt;0,0,SUM(AK418-ref!E$9))),"")</f>
        <v>0</v>
      </c>
      <c r="AQ418"/>
    </row>
    <row r="419" spans="2:43" x14ac:dyDescent="0.25">
      <c r="B419" s="81">
        <v>10</v>
      </c>
      <c r="C419" s="88" t="s">
        <v>20</v>
      </c>
      <c r="D419" s="88"/>
      <c r="E419" s="154">
        <f t="shared" si="331"/>
        <v>44121</v>
      </c>
      <c r="F419" s="164" t="s">
        <v>20</v>
      </c>
      <c r="G419" s="155">
        <f t="shared" si="327"/>
        <v>44121.375</v>
      </c>
      <c r="H419" s="29">
        <v>0.375</v>
      </c>
      <c r="I419" s="23">
        <f t="shared" si="332"/>
        <v>4.166666666666663E-2</v>
      </c>
      <c r="J419" s="29">
        <v>0.70833333333333337</v>
      </c>
      <c r="K419" s="46">
        <f t="shared" si="328"/>
        <v>44121.708333333336</v>
      </c>
      <c r="L419" s="21">
        <f>IF(OR(F419="télétravail",F419="férié travaillé",F419="travail"),(J419-H419+IF(H419&gt;J419,1)-I419),INDEX(ref!$E$22:'ref'!$E$37,MATCH(F419,gerald3,0)))</f>
        <v>0.29166666666666674</v>
      </c>
      <c r="M419" s="13">
        <f>IF(SUM(L419-ref!E$8)&lt;0,0,SUM(L419-ref!E$8))</f>
        <v>0</v>
      </c>
      <c r="N419" s="252">
        <f>L419-(hs!D418+hs!F418+hs!H418+hs!J418)</f>
        <v>-4.166666666666663E-2</v>
      </c>
      <c r="O419" s="8">
        <f>IF(OR(F419="férié travaillé",F419="travail",F419="asa",F419="rtt"),J419-H419+IF(H419&gt;J419,1),INDEX(ref!$E$22:'ref'!$E$37,MATCH(F419,gerald2,0)))</f>
        <v>0.33333333333333337</v>
      </c>
      <c r="P419" s="14">
        <f>IF(SUM(O419-ref!E$4)&lt;0,0,SUM(O419-ref!E$4))</f>
        <v>0</v>
      </c>
      <c r="Q419" s="143">
        <f t="shared" si="333"/>
        <v>1.4583333333333337</v>
      </c>
      <c r="S419" s="137"/>
      <c r="T419" s="92">
        <v>0.52083333333333337</v>
      </c>
      <c r="U419" s="129">
        <v>0.5625</v>
      </c>
      <c r="V419" s="142">
        <f t="shared" si="329"/>
        <v>4.166666666666663E-2</v>
      </c>
      <c r="W419" s="141">
        <f>IF(V419="","",IF(SUM(V419-ref!E$38)&gt;0,0,IF(V419=0, "0:00", SUM(V419-ref!E$38))))</f>
        <v>0</v>
      </c>
      <c r="X419" s="137"/>
      <c r="Y419" s="92"/>
      <c r="Z419" s="247"/>
      <c r="AA419" s="142">
        <f t="shared" si="334"/>
        <v>0</v>
      </c>
      <c r="AB419" s="245" t="str">
        <f>IF(AA419="","",IF(SUM(AA419-ref!E$38)&gt;0,0,IF(AA419=0, "0:00", SUM(AA419-ref!E$38))))</f>
        <v>0:00</v>
      </c>
      <c r="AC419" s="29"/>
      <c r="AD419" s="106"/>
      <c r="AE419" s="117" t="s">
        <v>47</v>
      </c>
      <c r="AF419" s="77">
        <f t="shared" si="330"/>
        <v>1</v>
      </c>
      <c r="AG419" s="19"/>
      <c r="AH419" s="178" t="s">
        <v>75</v>
      </c>
      <c r="AI419" s="54" t="s">
        <v>68</v>
      </c>
      <c r="AJ419" s="177" t="s">
        <v>76</v>
      </c>
      <c r="AK419" s="55" t="str" cm="1">
        <f t="array" ref="AK419">IF(ISNUMBER(G420),G420-_xlfn.AGGREGATE(14,6,(K$4:K419&lt;G420)*K$4:K419,1),"")</f>
        <v/>
      </c>
      <c r="AL419" s="20" t="str">
        <f>IF(ISNUMBER(AK419),ABS(IF(SUM(AK419-ref!E$9)&gt;0,0,SUM(AK419-ref!E$9))),"")</f>
        <v/>
      </c>
      <c r="AQ419"/>
    </row>
    <row r="420" spans="2:43" ht="15.75" thickBot="1" x14ac:dyDescent="0.3">
      <c r="B420"/>
      <c r="C420"/>
      <c r="D420"/>
      <c r="E420" s="154">
        <f t="shared" si="331"/>
        <v>44122</v>
      </c>
      <c r="F420" s="164" t="s">
        <v>19</v>
      </c>
      <c r="G420" s="155" t="str">
        <f t="shared" si="327"/>
        <v/>
      </c>
      <c r="H420" s="29"/>
      <c r="I420" s="23">
        <f t="shared" si="332"/>
        <v>0</v>
      </c>
      <c r="J420" s="29"/>
      <c r="K420" s="46" t="str">
        <f t="shared" si="328"/>
        <v/>
      </c>
      <c r="L420" s="21">
        <f>IF(OR(F420="télétravail",F420="férié travaillé",F420="travail"),(J420-H420+IF(H420&gt;J420,1)-I420),INDEX(ref!$E$22:'ref'!$E$37,MATCH(F420,gerald3,0)))</f>
        <v>0</v>
      </c>
      <c r="M420" s="13">
        <f>IF(SUM(L420-ref!E$8)&lt;0,0,SUM(L420-ref!E$8))</f>
        <v>0</v>
      </c>
      <c r="N420" s="252">
        <f>L420-(hs!D419+hs!F419+hs!H419+hs!J419)</f>
        <v>0</v>
      </c>
      <c r="O420" s="8">
        <f>IF(OR(F420="férié travaillé",F420="travail",F420="asa",F420="rtt"),J420-H420+IF(H420&gt;J420,1),INDEX(ref!$E$22:'ref'!$E$37,MATCH(F420,gerald2,0)))</f>
        <v>0</v>
      </c>
      <c r="P420" s="14">
        <f>IF(SUM(O420-ref!E$4)&lt;0,0,SUM(O420-ref!E$4))</f>
        <v>0</v>
      </c>
      <c r="Q420" s="97">
        <f t="shared" si="333"/>
        <v>1.4583333333333337</v>
      </c>
      <c r="S420" s="137"/>
      <c r="T420" s="92"/>
      <c r="U420" s="129"/>
      <c r="V420" s="142">
        <f t="shared" si="329"/>
        <v>0</v>
      </c>
      <c r="W420" s="141" t="str">
        <f>IF(V420="","",IF(SUM(V420-ref!E$38)&gt;0,0,IF(V420=0, "0:00", SUM(V420-ref!E$38))))</f>
        <v>0:00</v>
      </c>
      <c r="X420" s="137"/>
      <c r="Y420" s="92"/>
      <c r="Z420" s="247"/>
      <c r="AA420" s="142">
        <f t="shared" si="334"/>
        <v>0</v>
      </c>
      <c r="AB420" s="245" t="str">
        <f>IF(AA420="","",IF(SUM(AA420-ref!E$38)&gt;0,0,IF(AA420=0, "0:00", SUM(AA420-ref!E$38))))</f>
        <v>0:00</v>
      </c>
      <c r="AC420" s="29"/>
      <c r="AD420" s="106"/>
      <c r="AE420" s="118">
        <f>ref!E$11</f>
        <v>2</v>
      </c>
      <c r="AF420" s="77">
        <f t="shared" si="330"/>
        <v>0</v>
      </c>
      <c r="AG420" s="19"/>
      <c r="AH420" s="178" t="s">
        <v>76</v>
      </c>
      <c r="AI420" s="54" t="s">
        <v>68</v>
      </c>
      <c r="AJ420" s="177" t="s">
        <v>77</v>
      </c>
      <c r="AK420" s="55" t="str" cm="1">
        <f t="array" ref="AK420">IF(ISNUMBER(G421),G421-_xlfn.AGGREGATE(14,6,(K$4:K420&lt;G421)*K$4:K420,1),"")</f>
        <v/>
      </c>
      <c r="AL420" s="20" t="str">
        <f>IF(ISNUMBER(AK420),ABS(IF(SUM(AK420-ref!E$9)&gt;0,0,SUM(AK420-ref!E$9))),"")</f>
        <v/>
      </c>
      <c r="AQ420"/>
    </row>
    <row r="421" spans="2:43" ht="15.75" thickBot="1" x14ac:dyDescent="0.3">
      <c r="B421"/>
      <c r="C421"/>
      <c r="D421"/>
      <c r="E421" s="154">
        <f t="shared" si="331"/>
        <v>44123</v>
      </c>
      <c r="F421" s="165" t="s">
        <v>19</v>
      </c>
      <c r="G421" s="155" t="str">
        <f t="shared" si="327"/>
        <v/>
      </c>
      <c r="H421" s="29"/>
      <c r="I421" s="23">
        <f t="shared" si="332"/>
        <v>0</v>
      </c>
      <c r="J421" s="29"/>
      <c r="K421" s="46" t="str">
        <f t="shared" si="328"/>
        <v/>
      </c>
      <c r="L421" s="21">
        <f>IF(OR(F421="télétravail",F421="férié travaillé",F421="travail"),(J421-H421+IF(H421&gt;J421,1)-I421),INDEX(ref!$E$22:'ref'!$E$37,MATCH(F421,gerald3,0)))</f>
        <v>0</v>
      </c>
      <c r="M421" s="13">
        <f>IF(SUM(L421-ref!E$8)&lt;0,0,SUM(L421-ref!E$8))</f>
        <v>0</v>
      </c>
      <c r="N421" s="252">
        <f>L421-(hs!D420+hs!F420+hs!H420+hs!J420)</f>
        <v>0</v>
      </c>
      <c r="O421" s="8">
        <f>IF(OR(F421="férié travaillé",F421="travail",F421="asa",F421="rtt"),J421-H421+IF(H421&gt;J421,1),INDEX(ref!$E$22:'ref'!$E$37,MATCH(F421,gerald2,0)))</f>
        <v>0</v>
      </c>
      <c r="P421" s="14">
        <f>IF(SUM(O421-ref!E$4)&lt;0,0,SUM(O421-ref!E$4))</f>
        <v>0</v>
      </c>
      <c r="Q421" s="94">
        <f t="shared" si="333"/>
        <v>1.4583333333333337</v>
      </c>
      <c r="S421" s="138"/>
      <c r="T421" s="92"/>
      <c r="U421" s="129"/>
      <c r="V421" s="142">
        <f t="shared" si="329"/>
        <v>0</v>
      </c>
      <c r="W421" s="141" t="str">
        <f>IF(V421="","",IF(SUM(V421-ref!E$38)&gt;0,0,IF(V421=0, "0:00", SUM(V421-ref!E$38))))</f>
        <v>0:00</v>
      </c>
      <c r="X421" s="138"/>
      <c r="Y421" s="92"/>
      <c r="Z421" s="247"/>
      <c r="AA421" s="142">
        <f t="shared" si="334"/>
        <v>0</v>
      </c>
      <c r="AB421" s="246" t="str">
        <f>IF(AA421="","",IF(SUM(AA421-ref!E$38)&gt;0,0,IF(AA421=0, "0:00", SUM(AA421-ref!E$38))))</f>
        <v>0:00</v>
      </c>
      <c r="AC421" s="29"/>
      <c r="AD421" s="106"/>
      <c r="AE421" s="110">
        <f>IF(SUM(Q421-ref!E$11)&lt;0,0,SUM(Q421-ref!E$11))</f>
        <v>0</v>
      </c>
      <c r="AF421" s="77">
        <f t="shared" si="330"/>
        <v>0</v>
      </c>
      <c r="AG421" s="19"/>
      <c r="AQ421"/>
    </row>
    <row r="422" spans="2:43" x14ac:dyDescent="0.25">
      <c r="W422" s="74"/>
      <c r="X422" s="2"/>
      <c r="Z422"/>
      <c r="AA422" s="2"/>
      <c r="AB422" s="2"/>
      <c r="AC422" s="127"/>
      <c r="AQ422"/>
    </row>
    <row r="423" spans="2:43" x14ac:dyDescent="0.25">
      <c r="X423" s="2"/>
      <c r="Z423"/>
      <c r="AA423" s="2"/>
      <c r="AB423" s="2"/>
      <c r="AC423" s="127"/>
      <c r="AQ423"/>
    </row>
    <row r="424" spans="2:43" ht="15.75" thickBot="1" x14ac:dyDescent="0.3">
      <c r="W424" s="74"/>
      <c r="X424" s="2"/>
      <c r="Z424"/>
      <c r="AA424" s="2"/>
      <c r="AB424" s="2"/>
      <c r="AC424" s="127"/>
      <c r="AQ424"/>
    </row>
    <row r="425" spans="2:43" x14ac:dyDescent="0.25">
      <c r="B425" s="78" t="s">
        <v>1</v>
      </c>
      <c r="C425" s="85" t="s">
        <v>90</v>
      </c>
      <c r="D425" s="85"/>
      <c r="E425" s="154">
        <f>DATE(ref!E$2,B429,B427)</f>
        <v>44124</v>
      </c>
      <c r="F425" s="163" t="s">
        <v>20</v>
      </c>
      <c r="G425" s="155">
        <f t="shared" ref="G425:G431" si="335">IF(AND(J425="",H425=""),"",E425+H425)</f>
        <v>44124.375</v>
      </c>
      <c r="H425" s="29">
        <v>0.375</v>
      </c>
      <c r="I425" s="23">
        <f>SUM(V425+AA425+AC425)</f>
        <v>4.166666666666663E-2</v>
      </c>
      <c r="J425" s="29">
        <v>0.70833333333333337</v>
      </c>
      <c r="K425" s="46">
        <f t="shared" ref="K425:K431" si="336">IF(AND(H425="",J425=""),"",E425+J425+(H425&gt;J425))</f>
        <v>44124.708333333336</v>
      </c>
      <c r="L425" s="21">
        <f>IF(OR(F425="télétravail",F425="férié travaillé",F425="travail"),(J425-H425+IF(H425&gt;J425,1)-I425),INDEX(ref!$E$22:'ref'!$E$37,MATCH(F425,gerald3,0)))</f>
        <v>0.29166666666666674</v>
      </c>
      <c r="M425" s="13">
        <f>IF(SUM(L425-ref!E$8)&lt;0,0,SUM(L425-ref!E$8))</f>
        <v>0</v>
      </c>
      <c r="N425" s="252">
        <f>L425-(hs!D424+hs!F424+hs!H424+hs!J424)</f>
        <v>-4.166666666666663E-2</v>
      </c>
      <c r="O425" s="8">
        <f>IF(OR(F425="férié travaillé",F425="travail",F425="asa",F425="rtt"),J425-H425+IF(H425&gt;J425,1),INDEX(ref!$E$22:'ref'!$E$37,MATCH(F425,gerald2,0)))</f>
        <v>0.33333333333333337</v>
      </c>
      <c r="P425" s="14">
        <f>IF(SUM(O425-ref!E$4)&lt;0,0,SUM(O425-ref!E$4))</f>
        <v>0</v>
      </c>
      <c r="Q425" s="166">
        <f>L425</f>
        <v>0.29166666666666674</v>
      </c>
      <c r="S425" s="136"/>
      <c r="T425" s="92">
        <v>0.52083333333333337</v>
      </c>
      <c r="U425" s="129">
        <v>0.5625</v>
      </c>
      <c r="V425" s="142">
        <f t="shared" ref="V425:V431" si="337">U425-T425</f>
        <v>4.166666666666663E-2</v>
      </c>
      <c r="W425" s="141">
        <f>IF(V425="","",IF(SUM(V425-ref!E$38)&gt;0,0,IF(V425=0, "0:00", SUM(V425-ref!E$38))))</f>
        <v>0</v>
      </c>
      <c r="X425" s="136"/>
      <c r="Y425" s="92"/>
      <c r="Z425" s="247"/>
      <c r="AA425" s="142">
        <f>Z425-Y425</f>
        <v>0</v>
      </c>
      <c r="AB425" s="244" t="str">
        <f>IF(AA425="","",IF(SUM(AA425-ref!E$38)&gt;0,0,IF(AA425=0, "0:00", SUM(AA425-ref!E$38))))</f>
        <v>0:00</v>
      </c>
      <c r="AC425" s="29"/>
      <c r="AD425" s="106"/>
      <c r="AE425" s="111">
        <f>SUM(AF425:AF431)</f>
        <v>5</v>
      </c>
      <c r="AF425" s="77">
        <f t="shared" ref="AF425:AF431" si="338">IF(AND(H425&lt;&gt;"",J425&lt;&gt;""),1,0+OR(N(J424)&lt;N(H424),F425="récupération",F425="congé 1 jour",F425="congé 1/2 jour ",F425="congé 5h24",F425="arrêt maladie",F425="arrêt travail",F425="férié ",F425="congé parentale",F425="congé de naissance"))</f>
        <v>1</v>
      </c>
      <c r="AG425" s="19"/>
      <c r="AH425" s="176" t="s">
        <v>71</v>
      </c>
      <c r="AI425" s="54" t="s">
        <v>68</v>
      </c>
      <c r="AJ425" s="177" t="s">
        <v>72</v>
      </c>
      <c r="AK425" s="55" cm="1">
        <f t="array" ref="AK425">IF(ISNUMBER(G426),G426-_xlfn.AGGREGATE(14,6,(K$4:K425&lt;G426)*K$4:K425,1),"")</f>
        <v>0.66666666666424135</v>
      </c>
      <c r="AL425" s="20">
        <f>IF(ISNUMBER(AK425),ABS(IF(SUM(AK425-ref!E$9)&gt;0,0,SUM(AK425-ref!E$9))),"")</f>
        <v>0</v>
      </c>
      <c r="AQ425"/>
    </row>
    <row r="426" spans="2:43" x14ac:dyDescent="0.25">
      <c r="B426" s="79" t="s">
        <v>1</v>
      </c>
      <c r="C426" s="85" t="s">
        <v>90</v>
      </c>
      <c r="D426" s="85"/>
      <c r="E426" s="154">
        <f t="shared" ref="E426:E431" si="339">E425+1</f>
        <v>44125</v>
      </c>
      <c r="F426" s="164" t="s">
        <v>20</v>
      </c>
      <c r="G426" s="155">
        <f t="shared" si="335"/>
        <v>44125.375</v>
      </c>
      <c r="H426" s="29">
        <v>0.375</v>
      </c>
      <c r="I426" s="23">
        <f t="shared" ref="I426:I431" si="340">SUM(V426+AA426+AC426)</f>
        <v>4.166666666666663E-2</v>
      </c>
      <c r="J426" s="29">
        <v>0.70833333333333337</v>
      </c>
      <c r="K426" s="46">
        <f t="shared" si="336"/>
        <v>44125.708333333336</v>
      </c>
      <c r="L426" s="21">
        <f>IF(OR(F426="télétravail",F426="férié travaillé",F426="travail"),(J426-H426+IF(H426&gt;J426,1)-I426),INDEX(ref!$E$22:'ref'!$E$37,MATCH(F426,gerald3,0)))</f>
        <v>0.29166666666666674</v>
      </c>
      <c r="M426" s="13">
        <f>IF(SUM(L426-ref!E$8)&lt;0,0,SUM(L426-ref!E$8))</f>
        <v>0</v>
      </c>
      <c r="N426" s="252">
        <f>L426-(hs!D425+hs!F425+hs!H425+hs!J425)</f>
        <v>-4.166666666666663E-2</v>
      </c>
      <c r="O426" s="8">
        <f>IF(OR(F426="férié travaillé",F426="travail",F426="asa",F426="rtt"),J426-H426+IF(H426&gt;J426,1),INDEX(ref!$E$22:'ref'!$E$37,MATCH(F426,gerald2,0)))</f>
        <v>0.33333333333333337</v>
      </c>
      <c r="P426" s="14">
        <f>IF(SUM(O426-ref!E$4)&lt;0,0,SUM(O426-ref!E$4))</f>
        <v>0</v>
      </c>
      <c r="Q426" s="98">
        <f t="shared" ref="Q426:Q431" si="341">Q425+L426</f>
        <v>0.58333333333333348</v>
      </c>
      <c r="S426" s="137"/>
      <c r="T426" s="92">
        <v>0.52083333333333337</v>
      </c>
      <c r="U426" s="129">
        <v>0.5625</v>
      </c>
      <c r="V426" s="142">
        <f t="shared" si="337"/>
        <v>4.166666666666663E-2</v>
      </c>
      <c r="W426" s="141">
        <f>IF(V426="","",IF(SUM(V426-ref!E$38)&gt;0,0,IF(V426=0, "0:00", SUM(V426-ref!E$38))))</f>
        <v>0</v>
      </c>
      <c r="X426" s="137"/>
      <c r="Y426" s="92"/>
      <c r="Z426" s="247"/>
      <c r="AA426" s="142">
        <f t="shared" ref="AA426:AA431" si="342">Z426-Y426</f>
        <v>0</v>
      </c>
      <c r="AB426" s="245" t="str">
        <f>IF(AA426="","",IF(SUM(AA426-ref!E$38)&gt;0,0,IF(AA426=0, "0:00", SUM(AA426-ref!E$38))))</f>
        <v>0:00</v>
      </c>
      <c r="AC426" s="29"/>
      <c r="AD426" s="106"/>
      <c r="AE426" s="112">
        <f>IF(SUM(AE425-ref!E$7)&lt;0,0,SUM(AE425-ref!E$7))</f>
        <v>0</v>
      </c>
      <c r="AF426" s="77">
        <f t="shared" si="338"/>
        <v>1</v>
      </c>
      <c r="AG426" s="19"/>
      <c r="AH426" s="178" t="s">
        <v>72</v>
      </c>
      <c r="AI426" s="54" t="s">
        <v>68</v>
      </c>
      <c r="AJ426" s="177" t="s">
        <v>73</v>
      </c>
      <c r="AK426" s="55" cm="1">
        <f t="array" ref="AK426">IF(ISNUMBER(G427),G427-_xlfn.AGGREGATE(14,6,(K$4:K426&lt;G427)*K$4:K426,1),"")</f>
        <v>0.66666666666424135</v>
      </c>
      <c r="AL426" s="20">
        <f>IF(ISNUMBER(AK426),ABS(IF(SUM(AK426-ref!E$9)&gt;0,0,SUM(AK426-ref!E$9))),"")</f>
        <v>0</v>
      </c>
      <c r="AQ426"/>
    </row>
    <row r="427" spans="2:43" x14ac:dyDescent="0.25">
      <c r="B427" s="80">
        <v>21</v>
      </c>
      <c r="C427" s="85" t="s">
        <v>90</v>
      </c>
      <c r="D427" s="85"/>
      <c r="E427" s="154">
        <f t="shared" si="339"/>
        <v>44126</v>
      </c>
      <c r="F427" s="164" t="s">
        <v>20</v>
      </c>
      <c r="G427" s="155">
        <f t="shared" si="335"/>
        <v>44126.375</v>
      </c>
      <c r="H427" s="29">
        <v>0.375</v>
      </c>
      <c r="I427" s="23">
        <f t="shared" si="340"/>
        <v>4.166666666666663E-2</v>
      </c>
      <c r="J427" s="29">
        <v>0.70833333333333337</v>
      </c>
      <c r="K427" s="46">
        <f t="shared" si="336"/>
        <v>44126.708333333336</v>
      </c>
      <c r="L427" s="21">
        <f>IF(OR(F427="télétravail",F427="férié travaillé",F427="travail"),(J427-H427+IF(H427&gt;J427,1)-I427),INDEX(ref!$E$22:'ref'!$E$37,MATCH(F427,gerald3,0)))</f>
        <v>0.29166666666666674</v>
      </c>
      <c r="M427" s="13">
        <f>IF(SUM(L427-ref!E$8)&lt;0,0,SUM(L427-ref!E$8))</f>
        <v>0</v>
      </c>
      <c r="N427" s="252">
        <f>L427-(hs!D426+hs!F426+hs!H426+hs!J426)</f>
        <v>-4.166666666666663E-2</v>
      </c>
      <c r="O427" s="8">
        <f>IF(OR(F427="férié travaillé",F427="travail",F427="asa",F427="rtt"),J427-H427+IF(H427&gt;J427,1),INDEX(ref!$E$22:'ref'!$E$37,MATCH(F427,gerald2,0)))</f>
        <v>0.33333333333333337</v>
      </c>
      <c r="P427" s="14">
        <f>IF(SUM(O427-ref!E$4)&lt;0,0,SUM(O427-ref!E$4))</f>
        <v>0</v>
      </c>
      <c r="Q427" s="98">
        <f t="shared" si="341"/>
        <v>0.87500000000000022</v>
      </c>
      <c r="S427" s="137"/>
      <c r="T427" s="92">
        <v>0.52083333333333337</v>
      </c>
      <c r="U427" s="129">
        <v>0.5625</v>
      </c>
      <c r="V427" s="142">
        <f t="shared" si="337"/>
        <v>4.166666666666663E-2</v>
      </c>
      <c r="W427" s="141">
        <f>IF(V427="","",IF(SUM(V427-ref!E$38)&gt;0,0,IF(V427=0, "0:00", SUM(V427-ref!E$38))))</f>
        <v>0</v>
      </c>
      <c r="X427" s="137"/>
      <c r="Y427" s="92"/>
      <c r="Z427" s="247"/>
      <c r="AA427" s="142">
        <f t="shared" si="342"/>
        <v>0</v>
      </c>
      <c r="AB427" s="245" t="str">
        <f>IF(AA427="","",IF(SUM(AA427-ref!E$38)&gt;0,0,IF(AA427=0, "0:00", SUM(AA427-ref!E$38))))</f>
        <v>0:00</v>
      </c>
      <c r="AC427" s="29"/>
      <c r="AD427" s="106"/>
      <c r="AE427" s="113" t="s">
        <v>29</v>
      </c>
      <c r="AF427" s="77">
        <f t="shared" si="338"/>
        <v>1</v>
      </c>
      <c r="AG427" s="19"/>
      <c r="AH427" s="178" t="s">
        <v>73</v>
      </c>
      <c r="AI427" s="54" t="s">
        <v>68</v>
      </c>
      <c r="AJ427" s="177" t="s">
        <v>74</v>
      </c>
      <c r="AK427" s="55" cm="1">
        <f t="array" ref="AK427">IF(ISNUMBER(G428),G428-_xlfn.AGGREGATE(14,6,(K$4:K427&lt;G428)*K$4:K427,1),"")</f>
        <v>0.66666666666424135</v>
      </c>
      <c r="AL427" s="20">
        <f>IF(ISNUMBER(AK427),ABS(IF(SUM(AK427-ref!E$9)&gt;0,0,SUM(AK427-ref!E$9))),"")</f>
        <v>0</v>
      </c>
      <c r="AQ427"/>
    </row>
    <row r="428" spans="2:43" x14ac:dyDescent="0.25">
      <c r="B428" s="79" t="s">
        <v>58</v>
      </c>
      <c r="C428" s="85" t="s">
        <v>90</v>
      </c>
      <c r="D428" s="85"/>
      <c r="E428" s="154">
        <f t="shared" si="339"/>
        <v>44127</v>
      </c>
      <c r="F428" s="164" t="s">
        <v>20</v>
      </c>
      <c r="G428" s="155">
        <f t="shared" si="335"/>
        <v>44127.375</v>
      </c>
      <c r="H428" s="29">
        <v>0.375</v>
      </c>
      <c r="I428" s="23">
        <f t="shared" si="340"/>
        <v>4.166666666666663E-2</v>
      </c>
      <c r="J428" s="29">
        <v>0.70833333333333337</v>
      </c>
      <c r="K428" s="46">
        <f t="shared" si="336"/>
        <v>44127.708333333336</v>
      </c>
      <c r="L428" s="21">
        <f>IF(OR(F428="télétravail",F428="férié travaillé",F428="travail"),(J428-H428+IF(H428&gt;J428,1)-I428),INDEX(ref!$E$22:'ref'!$E$37,MATCH(F428,gerald3,0)))</f>
        <v>0.29166666666666674</v>
      </c>
      <c r="M428" s="13">
        <f>IF(SUM(L428-ref!E$8)&lt;0,0,SUM(L428-ref!E$8))</f>
        <v>0</v>
      </c>
      <c r="N428" s="252">
        <f>L428-(hs!D427+hs!F427+hs!H427+hs!J427)</f>
        <v>-4.166666666666663E-2</v>
      </c>
      <c r="O428" s="8">
        <f>IF(OR(F428="férié travaillé",F428="travail",F428="asa",F428="rtt"),J428-H428+IF(H428&gt;J428,1),INDEX(ref!$E$22:'ref'!$E$37,MATCH(F428,gerald2,0)))</f>
        <v>0.33333333333333337</v>
      </c>
      <c r="P428" s="14">
        <f>IF(SUM(O428-ref!E$4)&lt;0,0,SUM(O428-ref!E$4))</f>
        <v>0</v>
      </c>
      <c r="Q428" s="98">
        <f t="shared" si="341"/>
        <v>1.166666666666667</v>
      </c>
      <c r="S428" s="137"/>
      <c r="T428" s="92">
        <v>0.52083333333333337</v>
      </c>
      <c r="U428" s="129">
        <v>0.5625</v>
      </c>
      <c r="V428" s="142">
        <f t="shared" si="337"/>
        <v>4.166666666666663E-2</v>
      </c>
      <c r="W428" s="141">
        <f>IF(V428="","",IF(SUM(V428-ref!E$38)&gt;0,0,IF(V428=0, "0:00", SUM(V428-ref!E$38))))</f>
        <v>0</v>
      </c>
      <c r="X428" s="137"/>
      <c r="Y428" s="92"/>
      <c r="Z428" s="247"/>
      <c r="AA428" s="142">
        <f t="shared" si="342"/>
        <v>0</v>
      </c>
      <c r="AB428" s="245" t="str">
        <f>IF(AA428="","",IF(SUM(AA428-ref!E$38)&gt;0,0,IF(AA428=0, "0:00", SUM(AA428-ref!E$38))))</f>
        <v>0:00</v>
      </c>
      <c r="AC428" s="29"/>
      <c r="AD428" s="106"/>
      <c r="AE428" s="114">
        <f>Q431</f>
        <v>1.4583333333333337</v>
      </c>
      <c r="AF428" s="77">
        <f t="shared" si="338"/>
        <v>1</v>
      </c>
      <c r="AG428" s="19"/>
      <c r="AH428" s="178" t="s">
        <v>74</v>
      </c>
      <c r="AI428" s="54" t="s">
        <v>68</v>
      </c>
      <c r="AJ428" s="177" t="s">
        <v>75</v>
      </c>
      <c r="AK428" s="55" cm="1">
        <f t="array" ref="AK428">IF(ISNUMBER(G429),G429-_xlfn.AGGREGATE(14,6,(K$4:K428&lt;G429)*K$4:K428,1),"")</f>
        <v>0.66666666666424135</v>
      </c>
      <c r="AL428" s="20">
        <f>IF(ISNUMBER(AK428),ABS(IF(SUM(AK428-ref!E$9)&gt;0,0,SUM(AK428-ref!E$9))),"")</f>
        <v>0</v>
      </c>
      <c r="AQ428"/>
    </row>
    <row r="429" spans="2:43" x14ac:dyDescent="0.25">
      <c r="B429" s="81">
        <v>10</v>
      </c>
      <c r="C429" s="86" t="s">
        <v>90</v>
      </c>
      <c r="D429" s="86"/>
      <c r="E429" s="154">
        <f t="shared" si="339"/>
        <v>44128</v>
      </c>
      <c r="F429" s="164" t="s">
        <v>20</v>
      </c>
      <c r="G429" s="155">
        <f t="shared" si="335"/>
        <v>44128.375</v>
      </c>
      <c r="H429" s="29">
        <v>0.375</v>
      </c>
      <c r="I429" s="23">
        <f t="shared" si="340"/>
        <v>4.166666666666663E-2</v>
      </c>
      <c r="J429" s="29">
        <v>0.70833333333333337</v>
      </c>
      <c r="K429" s="46">
        <f t="shared" si="336"/>
        <v>44128.708333333336</v>
      </c>
      <c r="L429" s="21">
        <f>IF(OR(F429="télétravail",F429="férié travaillé",F429="travail"),(J429-H429+IF(H429&gt;J429,1)-I429),INDEX(ref!$E$22:'ref'!$E$37,MATCH(F429,gerald3,0)))</f>
        <v>0.29166666666666674</v>
      </c>
      <c r="M429" s="13">
        <f>IF(SUM(L429-ref!E$8)&lt;0,0,SUM(L429-ref!E$8))</f>
        <v>0</v>
      </c>
      <c r="N429" s="252">
        <f>L429-(hs!D428+hs!F428+hs!H428+hs!J428)</f>
        <v>-4.166666666666663E-2</v>
      </c>
      <c r="O429" s="8">
        <f>IF(OR(F429="férié travaillé",F429="travail",F429="asa",F429="rtt"),J429-H429+IF(H429&gt;J429,1),INDEX(ref!$E$22:'ref'!$E$37,MATCH(F429,gerald2,0)))</f>
        <v>0.33333333333333337</v>
      </c>
      <c r="P429" s="14">
        <f>IF(SUM(O429-ref!E$4)&lt;0,0,SUM(O429-ref!E$4))</f>
        <v>0</v>
      </c>
      <c r="Q429" s="143">
        <f t="shared" si="341"/>
        <v>1.4583333333333337</v>
      </c>
      <c r="S429" s="137"/>
      <c r="T429" s="92">
        <v>0.52083333333333337</v>
      </c>
      <c r="U429" s="129">
        <v>0.5625</v>
      </c>
      <c r="V429" s="142">
        <f t="shared" si="337"/>
        <v>4.166666666666663E-2</v>
      </c>
      <c r="W429" s="141">
        <f>IF(V429="","",IF(SUM(V429-ref!E$38)&gt;0,0,IF(V429=0, "0:00", SUM(V429-ref!E$38))))</f>
        <v>0</v>
      </c>
      <c r="X429" s="137"/>
      <c r="Y429" s="92"/>
      <c r="Z429" s="247"/>
      <c r="AA429" s="142">
        <f t="shared" si="342"/>
        <v>0</v>
      </c>
      <c r="AB429" s="245" t="str">
        <f>IF(AA429="","",IF(SUM(AA429-ref!E$38)&gt;0,0,IF(AA429=0, "0:00", SUM(AA429-ref!E$38))))</f>
        <v>0:00</v>
      </c>
      <c r="AC429" s="29"/>
      <c r="AD429" s="106"/>
      <c r="AE429" s="117" t="s">
        <v>47</v>
      </c>
      <c r="AF429" s="77">
        <f t="shared" si="338"/>
        <v>1</v>
      </c>
      <c r="AG429" s="19"/>
      <c r="AH429" s="178" t="s">
        <v>75</v>
      </c>
      <c r="AI429" s="54" t="s">
        <v>68</v>
      </c>
      <c r="AJ429" s="177" t="s">
        <v>76</v>
      </c>
      <c r="AK429" s="55" t="str" cm="1">
        <f t="array" ref="AK429">IF(ISNUMBER(G430),G430-_xlfn.AGGREGATE(14,6,(K$4:K429&lt;G430)*K$4:K429,1),"")</f>
        <v/>
      </c>
      <c r="AL429" s="20" t="str">
        <f>IF(ISNUMBER(AK429),ABS(IF(SUM(AK429-ref!E$9)&gt;0,0,SUM(AK429-ref!E$9))),"")</f>
        <v/>
      </c>
      <c r="AQ429"/>
    </row>
    <row r="430" spans="2:43" ht="15.75" thickBot="1" x14ac:dyDescent="0.3">
      <c r="B430"/>
      <c r="C430"/>
      <c r="D430"/>
      <c r="E430" s="154">
        <f t="shared" si="339"/>
        <v>44129</v>
      </c>
      <c r="F430" s="164" t="s">
        <v>19</v>
      </c>
      <c r="G430" s="155" t="str">
        <f t="shared" si="335"/>
        <v/>
      </c>
      <c r="H430" s="29"/>
      <c r="I430" s="23">
        <f t="shared" si="340"/>
        <v>0</v>
      </c>
      <c r="J430" s="29"/>
      <c r="K430" s="46" t="str">
        <f t="shared" si="336"/>
        <v/>
      </c>
      <c r="L430" s="21">
        <f>IF(OR(F430="télétravail",F430="férié travaillé",F430="travail"),(J430-H430+IF(H430&gt;J430,1)-I430),INDEX(ref!$E$22:'ref'!$E$37,MATCH(F430,gerald3,0)))</f>
        <v>0</v>
      </c>
      <c r="M430" s="13">
        <f>IF(SUM(L430-ref!E$8)&lt;0,0,SUM(L430-ref!E$8))</f>
        <v>0</v>
      </c>
      <c r="N430" s="252">
        <f>L430-(hs!D429+hs!F429+hs!H429+hs!J429)</f>
        <v>0</v>
      </c>
      <c r="O430" s="8">
        <f>IF(OR(F430="férié travaillé",F430="travail",F430="asa",F430="rtt"),J430-H430+IF(H430&gt;J430,1),INDEX(ref!$E$22:'ref'!$E$37,MATCH(F430,gerald2,0)))</f>
        <v>0</v>
      </c>
      <c r="P430" s="14">
        <f>IF(SUM(O430-ref!E$4)&lt;0,0,SUM(O430-ref!E$4))</f>
        <v>0</v>
      </c>
      <c r="Q430" s="93">
        <f t="shared" si="341"/>
        <v>1.4583333333333337</v>
      </c>
      <c r="S430" s="137"/>
      <c r="T430" s="92"/>
      <c r="U430" s="129"/>
      <c r="V430" s="142">
        <f t="shared" si="337"/>
        <v>0</v>
      </c>
      <c r="W430" s="141" t="str">
        <f>IF(V430="","",IF(SUM(V430-ref!E$38)&gt;0,0,IF(V430=0, "0:00", SUM(V430-ref!E$38))))</f>
        <v>0:00</v>
      </c>
      <c r="X430" s="137"/>
      <c r="Y430" s="92"/>
      <c r="Z430" s="247"/>
      <c r="AA430" s="142">
        <f t="shared" si="342"/>
        <v>0</v>
      </c>
      <c r="AB430" s="245" t="str">
        <f>IF(AA430="","",IF(SUM(AA430-ref!E$38)&gt;0,0,IF(AA430=0, "0:00", SUM(AA430-ref!E$38))))</f>
        <v>0:00</v>
      </c>
      <c r="AC430" s="29"/>
      <c r="AD430" s="106"/>
      <c r="AE430" s="118">
        <f>ref!E$11</f>
        <v>2</v>
      </c>
      <c r="AF430" s="77">
        <f t="shared" si="338"/>
        <v>0</v>
      </c>
      <c r="AG430" s="19"/>
      <c r="AH430" s="178" t="s">
        <v>76</v>
      </c>
      <c r="AI430" s="54" t="s">
        <v>68</v>
      </c>
      <c r="AJ430" s="177" t="s">
        <v>77</v>
      </c>
      <c r="AK430" s="55" t="str" cm="1">
        <f t="array" ref="AK430">IF(ISNUMBER(G431),G431-_xlfn.AGGREGATE(14,6,(K$4:K430&lt;G431)*K$4:K430,1),"")</f>
        <v/>
      </c>
      <c r="AL430" s="20" t="str">
        <f>IF(ISNUMBER(AK430),ABS(IF(SUM(AK430-ref!E$9)&gt;0,0,SUM(AK430-ref!E$9))),"")</f>
        <v/>
      </c>
      <c r="AQ430"/>
    </row>
    <row r="431" spans="2:43" ht="15.75" thickBot="1" x14ac:dyDescent="0.3">
      <c r="B431"/>
      <c r="C431"/>
      <c r="D431"/>
      <c r="E431" s="154">
        <f t="shared" si="339"/>
        <v>44130</v>
      </c>
      <c r="F431" s="165" t="s">
        <v>19</v>
      </c>
      <c r="G431" s="155" t="str">
        <f t="shared" si="335"/>
        <v/>
      </c>
      <c r="H431" s="29"/>
      <c r="I431" s="23">
        <f t="shared" si="340"/>
        <v>0</v>
      </c>
      <c r="J431" s="29"/>
      <c r="K431" s="46" t="str">
        <f t="shared" si="336"/>
        <v/>
      </c>
      <c r="L431" s="21">
        <f>IF(OR(F431="télétravail",F431="férié travaillé",F431="travail"),(J431-H431+IF(H431&gt;J431,1)-I431),INDEX(ref!$E$22:'ref'!$E$37,MATCH(F431,gerald3,0)))</f>
        <v>0</v>
      </c>
      <c r="M431" s="13">
        <f>IF(SUM(L431-ref!E$8)&lt;0,0,SUM(L431-ref!E$8))</f>
        <v>0</v>
      </c>
      <c r="N431" s="252">
        <f>L431-(hs!D430+hs!F430+hs!H430+hs!J430)</f>
        <v>0</v>
      </c>
      <c r="O431" s="8">
        <f>IF(OR(F431="férié travaillé",F431="travail",F431="asa",F431="rtt"),J431-H431+IF(H431&gt;J431,1),INDEX(ref!$E$22:'ref'!$E$37,MATCH(F431,gerald2,0)))</f>
        <v>0</v>
      </c>
      <c r="P431" s="14">
        <f>IF(SUM(O431-ref!E$4)&lt;0,0,SUM(O431-ref!E$4))</f>
        <v>0</v>
      </c>
      <c r="Q431" s="94">
        <f t="shared" si="341"/>
        <v>1.4583333333333337</v>
      </c>
      <c r="S431" s="138"/>
      <c r="T431" s="92"/>
      <c r="U431" s="129"/>
      <c r="V431" s="142">
        <f t="shared" si="337"/>
        <v>0</v>
      </c>
      <c r="W431" s="141" t="str">
        <f>IF(V431="","",IF(SUM(V431-ref!E$38)&gt;0,0,IF(V431=0, "0:00", SUM(V431-ref!E$38))))</f>
        <v>0:00</v>
      </c>
      <c r="X431" s="138"/>
      <c r="Y431" s="92"/>
      <c r="Z431" s="247"/>
      <c r="AA431" s="142">
        <f t="shared" si="342"/>
        <v>0</v>
      </c>
      <c r="AB431" s="246" t="str">
        <f>IF(AA431="","",IF(SUM(AA431-ref!E$38)&gt;0,0,IF(AA431=0, "0:00", SUM(AA431-ref!E$38))))</f>
        <v>0:00</v>
      </c>
      <c r="AC431" s="29"/>
      <c r="AD431" s="106"/>
      <c r="AE431" s="110">
        <f>IF(SUM(Q431-ref!E$11)&lt;0,0,SUM(Q431-ref!E$11))</f>
        <v>0</v>
      </c>
      <c r="AF431" s="77">
        <f t="shared" si="338"/>
        <v>0</v>
      </c>
      <c r="AG431" s="19"/>
      <c r="AQ431"/>
    </row>
    <row r="432" spans="2:43" x14ac:dyDescent="0.25">
      <c r="T432" s="22"/>
      <c r="W432" s="74"/>
      <c r="X432" s="2"/>
      <c r="Z432"/>
      <c r="AA432" s="2"/>
      <c r="AB432" s="2"/>
      <c r="AC432" s="127"/>
      <c r="AQ432"/>
    </row>
    <row r="433" spans="2:43" x14ac:dyDescent="0.25">
      <c r="X433" s="2"/>
      <c r="Z433"/>
      <c r="AA433" s="2"/>
      <c r="AB433" s="2"/>
      <c r="AC433" s="127"/>
      <c r="AQ433"/>
    </row>
    <row r="434" spans="2:43" ht="15.75" thickBot="1" x14ac:dyDescent="0.3">
      <c r="W434" s="74"/>
      <c r="X434" s="2"/>
      <c r="Z434"/>
      <c r="AA434" s="2"/>
      <c r="AB434" s="2"/>
      <c r="AC434" s="127"/>
      <c r="AQ434"/>
    </row>
    <row r="435" spans="2:43" x14ac:dyDescent="0.25">
      <c r="B435" s="78" t="s">
        <v>1</v>
      </c>
      <c r="C435" s="85" t="s">
        <v>90</v>
      </c>
      <c r="D435" s="85"/>
      <c r="E435" s="154">
        <f>DATE(ref!E$2,B439,B437)</f>
        <v>44131</v>
      </c>
      <c r="F435" s="163" t="s">
        <v>20</v>
      </c>
      <c r="G435" s="155">
        <f t="shared" ref="G435:G441" si="343">IF(AND(J435="",H435=""),"",E435+H435)</f>
        <v>44131.375</v>
      </c>
      <c r="H435" s="29">
        <v>0.375</v>
      </c>
      <c r="I435" s="23">
        <f>SUM(V435+AA435+AC435)</f>
        <v>4.166666666666663E-2</v>
      </c>
      <c r="J435" s="29">
        <v>0.70833333333333337</v>
      </c>
      <c r="K435" s="46">
        <f t="shared" ref="K435:K441" si="344">IF(AND(H435="",J435=""),"",E435+J435+(H435&gt;J435))</f>
        <v>44131.708333333336</v>
      </c>
      <c r="L435" s="21">
        <f>IF(OR(F435="télétravail",F435="férié travaillé",F435="travail"),(J435-H435+IF(H435&gt;J435,1)-I435),INDEX(ref!$E$22:'ref'!$E$37,MATCH(F435,gerald3,0)))</f>
        <v>0.29166666666666674</v>
      </c>
      <c r="M435" s="13">
        <f>IF(SUM(L435-ref!E$8)&lt;0,0,SUM(L435-ref!E$8))</f>
        <v>0</v>
      </c>
      <c r="N435" s="252">
        <f>L435-(hs!D434+hs!F434+hs!H434+hs!J434)</f>
        <v>-4.166666666666663E-2</v>
      </c>
      <c r="O435" s="8">
        <f>IF(OR(F435="férié travaillé",F435="travail",F435="asa",F435="rtt"),J435-H435+IF(H435&gt;J435,1),INDEX(ref!$E$22:'ref'!$E$37,MATCH(F435,gerald2,0)))</f>
        <v>0.33333333333333337</v>
      </c>
      <c r="P435" s="14">
        <f>IF(SUM(O435-ref!E$4)&lt;0,0,SUM(O435-ref!E$4))</f>
        <v>0</v>
      </c>
      <c r="Q435" s="166">
        <f>L435</f>
        <v>0.29166666666666674</v>
      </c>
      <c r="S435" s="136"/>
      <c r="T435" s="92">
        <v>0.52083333333333337</v>
      </c>
      <c r="U435" s="129">
        <v>0.5625</v>
      </c>
      <c r="V435" s="142">
        <f t="shared" ref="V435:V441" si="345">U435-T435</f>
        <v>4.166666666666663E-2</v>
      </c>
      <c r="W435" s="141">
        <f>IF(V435="","",IF(SUM(V435-ref!E$38)&gt;0,0,IF(V435=0, "0:00", SUM(V435-ref!E$38))))</f>
        <v>0</v>
      </c>
      <c r="X435" s="136"/>
      <c r="Y435" s="92"/>
      <c r="Z435" s="247"/>
      <c r="AA435" s="142">
        <f>Z435-Y435</f>
        <v>0</v>
      </c>
      <c r="AB435" s="244" t="str">
        <f>IF(AA435="","",IF(SUM(AA435-ref!E$38)&gt;0,0,IF(AA435=0, "0:00", SUM(AA435-ref!E$38))))</f>
        <v>0:00</v>
      </c>
      <c r="AC435" s="29"/>
      <c r="AD435" s="106"/>
      <c r="AE435" s="111">
        <f>SUM(AF435:AF441)</f>
        <v>5</v>
      </c>
      <c r="AF435" s="77">
        <f t="shared" ref="AF435:AF441" si="346">IF(AND(H435&lt;&gt;"",J435&lt;&gt;""),1,0+OR(N(J434)&lt;N(H434),F435="récupération",F435="congé 1 jour",F435="congé 1/2 jour ",F435="congé 5h24",F435="arrêt maladie",F435="arrêt travail",F435="férié ",F435="congé parentale",F435="congé de naissance"))</f>
        <v>1</v>
      </c>
      <c r="AG435" s="19"/>
      <c r="AH435" s="176" t="s">
        <v>71</v>
      </c>
      <c r="AI435" s="54" t="s">
        <v>68</v>
      </c>
      <c r="AJ435" s="177" t="s">
        <v>72</v>
      </c>
      <c r="AK435" s="55" cm="1">
        <f t="array" ref="AK435">IF(ISNUMBER(G436),G436-_xlfn.AGGREGATE(14,6,(K$4:K435&lt;G436)*K$4:K435,1),"")</f>
        <v>0.66666666666424135</v>
      </c>
      <c r="AL435" s="20">
        <f>IF(ISNUMBER(AK435),ABS(IF(SUM(AK435-ref!E$9)&gt;0,0,SUM(AK435-ref!E$9))),"")</f>
        <v>0</v>
      </c>
      <c r="AQ435"/>
    </row>
    <row r="436" spans="2:43" x14ac:dyDescent="0.25">
      <c r="B436" s="79" t="s">
        <v>1</v>
      </c>
      <c r="C436" s="85" t="s">
        <v>90</v>
      </c>
      <c r="D436" s="85"/>
      <c r="E436" s="154">
        <f t="shared" ref="E436:E441" si="347">E435+1</f>
        <v>44132</v>
      </c>
      <c r="F436" s="164" t="s">
        <v>20</v>
      </c>
      <c r="G436" s="155">
        <f t="shared" si="343"/>
        <v>44132.375</v>
      </c>
      <c r="H436" s="29">
        <v>0.375</v>
      </c>
      <c r="I436" s="23">
        <f t="shared" ref="I436:I441" si="348">SUM(V436+AA436+AC436)</f>
        <v>4.166666666666663E-2</v>
      </c>
      <c r="J436" s="29">
        <v>0.70833333333333337</v>
      </c>
      <c r="K436" s="46">
        <f t="shared" si="344"/>
        <v>44132.708333333336</v>
      </c>
      <c r="L436" s="21">
        <f>IF(OR(F436="télétravail",F436="férié travaillé",F436="travail"),(J436-H436+IF(H436&gt;J436,1)-I436),INDEX(ref!$E$22:'ref'!$E$37,MATCH(F436,gerald3,0)))</f>
        <v>0.29166666666666674</v>
      </c>
      <c r="M436" s="13">
        <f>IF(SUM(L436-ref!E$8)&lt;0,0,SUM(L436-ref!E$8))</f>
        <v>0</v>
      </c>
      <c r="N436" s="252">
        <f>L436-(hs!D435+hs!F435+hs!H435+hs!J435)</f>
        <v>-4.166666666666663E-2</v>
      </c>
      <c r="O436" s="8">
        <f>IF(OR(F436="férié travaillé",F436="travail",F436="asa",F436="rtt"),J436-H436+IF(H436&gt;J436,1),INDEX(ref!$E$22:'ref'!$E$37,MATCH(F436,gerald2,0)))</f>
        <v>0.33333333333333337</v>
      </c>
      <c r="P436" s="14">
        <f>IF(SUM(O436-ref!E$4)&lt;0,0,SUM(O436-ref!E$4))</f>
        <v>0</v>
      </c>
      <c r="Q436" s="98">
        <f t="shared" ref="Q436:Q441" si="349">Q435+L436</f>
        <v>0.58333333333333348</v>
      </c>
      <c r="S436" s="137"/>
      <c r="T436" s="92">
        <v>0.52083333333333337</v>
      </c>
      <c r="U436" s="129">
        <v>0.5625</v>
      </c>
      <c r="V436" s="142">
        <f t="shared" si="345"/>
        <v>4.166666666666663E-2</v>
      </c>
      <c r="W436" s="141">
        <f>IF(V436="","",IF(SUM(V436-ref!E$38)&gt;0,0,IF(V436=0, "0:00", SUM(V436-ref!E$38))))</f>
        <v>0</v>
      </c>
      <c r="X436" s="137"/>
      <c r="Y436" s="92"/>
      <c r="Z436" s="247"/>
      <c r="AA436" s="142">
        <f t="shared" ref="AA436:AA441" si="350">Z436-Y436</f>
        <v>0</v>
      </c>
      <c r="AB436" s="245" t="str">
        <f>IF(AA436="","",IF(SUM(AA436-ref!E$38)&gt;0,0,IF(AA436=0, "0:00", SUM(AA436-ref!E$38))))</f>
        <v>0:00</v>
      </c>
      <c r="AC436" s="29"/>
      <c r="AD436" s="106"/>
      <c r="AE436" s="112">
        <f>IF(SUM(AE435-ref!E$7)&lt;0,0,SUM(AE435-ref!E$7))</f>
        <v>0</v>
      </c>
      <c r="AF436" s="77">
        <f t="shared" si="346"/>
        <v>1</v>
      </c>
      <c r="AG436" s="19"/>
      <c r="AH436" s="178" t="s">
        <v>72</v>
      </c>
      <c r="AI436" s="54" t="s">
        <v>68</v>
      </c>
      <c r="AJ436" s="177" t="s">
        <v>73</v>
      </c>
      <c r="AK436" s="55" cm="1">
        <f t="array" ref="AK436">IF(ISNUMBER(G437),G437-_xlfn.AGGREGATE(14,6,(K$4:K436&lt;G437)*K$4:K436,1),"")</f>
        <v>0.66666666666424135</v>
      </c>
      <c r="AL436" s="20">
        <f>IF(ISNUMBER(AK436),ABS(IF(SUM(AK436-ref!E$9)&gt;0,0,SUM(AK436-ref!E$9))),"")</f>
        <v>0</v>
      </c>
      <c r="AQ436"/>
    </row>
    <row r="437" spans="2:43" x14ac:dyDescent="0.25">
      <c r="B437" s="80">
        <v>28</v>
      </c>
      <c r="C437" s="85" t="s">
        <v>90</v>
      </c>
      <c r="D437" s="85"/>
      <c r="E437" s="154">
        <f t="shared" si="347"/>
        <v>44133</v>
      </c>
      <c r="F437" s="164" t="s">
        <v>20</v>
      </c>
      <c r="G437" s="155">
        <f t="shared" si="343"/>
        <v>44133.375</v>
      </c>
      <c r="H437" s="29">
        <v>0.375</v>
      </c>
      <c r="I437" s="23">
        <f t="shared" si="348"/>
        <v>4.166666666666663E-2</v>
      </c>
      <c r="J437" s="29">
        <v>0.70833333333333337</v>
      </c>
      <c r="K437" s="46">
        <f t="shared" si="344"/>
        <v>44133.708333333336</v>
      </c>
      <c r="L437" s="21">
        <f>IF(OR(F437="télétravail",F437="férié travaillé",F437="travail"),(J437-H437+IF(H437&gt;J437,1)-I437),INDEX(ref!$E$22:'ref'!$E$37,MATCH(F437,gerald3,0)))</f>
        <v>0.29166666666666674</v>
      </c>
      <c r="M437" s="13">
        <f>IF(SUM(L437-ref!E$8)&lt;0,0,SUM(L437-ref!E$8))</f>
        <v>0</v>
      </c>
      <c r="N437" s="252">
        <f>L437-(hs!D436+hs!F436+hs!H436+hs!J436)</f>
        <v>-4.166666666666663E-2</v>
      </c>
      <c r="O437" s="8">
        <f>IF(OR(F437="férié travaillé",F437="travail",F437="asa",F437="rtt"),J437-H437+IF(H437&gt;J437,1),INDEX(ref!$E$22:'ref'!$E$37,MATCH(F437,gerald2,0)))</f>
        <v>0.33333333333333337</v>
      </c>
      <c r="P437" s="14">
        <f>IF(SUM(O437-ref!E$4)&lt;0,0,SUM(O437-ref!E$4))</f>
        <v>0</v>
      </c>
      <c r="Q437" s="98">
        <f t="shared" si="349"/>
        <v>0.87500000000000022</v>
      </c>
      <c r="S437" s="137"/>
      <c r="T437" s="92">
        <v>0.52083333333333337</v>
      </c>
      <c r="U437" s="129">
        <v>0.5625</v>
      </c>
      <c r="V437" s="142">
        <f t="shared" si="345"/>
        <v>4.166666666666663E-2</v>
      </c>
      <c r="W437" s="141">
        <f>IF(V437="","",IF(SUM(V437-ref!E$38)&gt;0,0,IF(V437=0, "0:00", SUM(V437-ref!E$38))))</f>
        <v>0</v>
      </c>
      <c r="X437" s="137"/>
      <c r="Y437" s="92"/>
      <c r="Z437" s="247"/>
      <c r="AA437" s="142">
        <f t="shared" si="350"/>
        <v>0</v>
      </c>
      <c r="AB437" s="245" t="str">
        <f>IF(AA437="","",IF(SUM(AA437-ref!E$38)&gt;0,0,IF(AA437=0, "0:00", SUM(AA437-ref!E$38))))</f>
        <v>0:00</v>
      </c>
      <c r="AC437" s="29"/>
      <c r="AD437" s="106"/>
      <c r="AE437" s="113" t="s">
        <v>29</v>
      </c>
      <c r="AF437" s="77">
        <f t="shared" si="346"/>
        <v>1</v>
      </c>
      <c r="AG437" s="19"/>
      <c r="AH437" s="178" t="s">
        <v>73</v>
      </c>
      <c r="AI437" s="54" t="s">
        <v>68</v>
      </c>
      <c r="AJ437" s="177" t="s">
        <v>74</v>
      </c>
      <c r="AK437" s="55" cm="1">
        <f t="array" ref="AK437">IF(ISNUMBER(G438),G438-_xlfn.AGGREGATE(14,6,(K$4:K437&lt;G438)*K$4:K437,1),"")</f>
        <v>0.66666666666424135</v>
      </c>
      <c r="AL437" s="20">
        <f>IF(ISNUMBER(AK437),ABS(IF(SUM(AK437-ref!E$9)&gt;0,0,SUM(AK437-ref!E$9))),"")</f>
        <v>0</v>
      </c>
      <c r="AQ437"/>
    </row>
    <row r="438" spans="2:43" x14ac:dyDescent="0.25">
      <c r="B438" s="79" t="s">
        <v>58</v>
      </c>
      <c r="C438" s="85" t="s">
        <v>90</v>
      </c>
      <c r="D438" s="85"/>
      <c r="E438" s="154">
        <f t="shared" si="347"/>
        <v>44134</v>
      </c>
      <c r="F438" s="164" t="s">
        <v>20</v>
      </c>
      <c r="G438" s="155">
        <f t="shared" si="343"/>
        <v>44134.375</v>
      </c>
      <c r="H438" s="29">
        <v>0.375</v>
      </c>
      <c r="I438" s="23">
        <f t="shared" si="348"/>
        <v>4.166666666666663E-2</v>
      </c>
      <c r="J438" s="29">
        <v>0.70833333333333337</v>
      </c>
      <c r="K438" s="46">
        <f t="shared" si="344"/>
        <v>44134.708333333336</v>
      </c>
      <c r="L438" s="21">
        <f>IF(OR(F438="télétravail",F438="férié travaillé",F438="travail"),(J438-H438+IF(H438&gt;J438,1)-I438),INDEX(ref!$E$22:'ref'!$E$37,MATCH(F438,gerald3,0)))</f>
        <v>0.29166666666666674</v>
      </c>
      <c r="M438" s="13">
        <f>IF(SUM(L438-ref!E$8)&lt;0,0,SUM(L438-ref!E$8))</f>
        <v>0</v>
      </c>
      <c r="N438" s="252">
        <f>L438-(hs!D437+hs!F437+hs!H437+hs!J437)</f>
        <v>-4.166666666666663E-2</v>
      </c>
      <c r="O438" s="8">
        <f>IF(OR(F438="férié travaillé",F438="travail",F438="asa",F438="rtt"),J438-H438+IF(H438&gt;J438,1),INDEX(ref!$E$22:'ref'!$E$37,MATCH(F438,gerald2,0)))</f>
        <v>0.33333333333333337</v>
      </c>
      <c r="P438" s="14">
        <f>IF(SUM(O438-ref!E$4)&lt;0,0,SUM(O438-ref!E$4))</f>
        <v>0</v>
      </c>
      <c r="Q438" s="97">
        <f t="shared" si="349"/>
        <v>1.166666666666667</v>
      </c>
      <c r="S438" s="137"/>
      <c r="T438" s="92">
        <v>0.52083333333333337</v>
      </c>
      <c r="U438" s="129">
        <v>0.5625</v>
      </c>
      <c r="V438" s="142">
        <f t="shared" si="345"/>
        <v>4.166666666666663E-2</v>
      </c>
      <c r="W438" s="141">
        <f>IF(V438="","",IF(SUM(V438-ref!E$38)&gt;0,0,IF(V438=0, "0:00", SUM(V438-ref!E$38))))</f>
        <v>0</v>
      </c>
      <c r="X438" s="137"/>
      <c r="Y438" s="92"/>
      <c r="Z438" s="247"/>
      <c r="AA438" s="142">
        <f t="shared" si="350"/>
        <v>0</v>
      </c>
      <c r="AB438" s="245" t="str">
        <f>IF(AA438="","",IF(SUM(AA438-ref!E$38)&gt;0,0,IF(AA438=0, "0:00", SUM(AA438-ref!E$38))))</f>
        <v>0:00</v>
      </c>
      <c r="AC438" s="29"/>
      <c r="AD438" s="106"/>
      <c r="AE438" s="114">
        <f>Q441</f>
        <v>1.4583333333333337</v>
      </c>
      <c r="AF438" s="77">
        <f t="shared" si="346"/>
        <v>1</v>
      </c>
      <c r="AG438" s="19"/>
      <c r="AH438" s="178" t="s">
        <v>74</v>
      </c>
      <c r="AI438" s="54" t="s">
        <v>68</v>
      </c>
      <c r="AJ438" s="177" t="s">
        <v>75</v>
      </c>
      <c r="AK438" s="55" t="str" cm="1">
        <f t="array" ref="AK438">IF(ISNUMBER(G439),G439-_xlfn.AGGREGATE(14,6,(K$4:K438&lt;G439)*K$4:K438,1),"")</f>
        <v/>
      </c>
      <c r="AL438" s="20" t="str">
        <f>IF(ISNUMBER(AK438),ABS(IF(SUM(AK438-ref!E$9)&gt;0,0,SUM(AK438-ref!E$9))),"")</f>
        <v/>
      </c>
      <c r="AQ438"/>
    </row>
    <row r="439" spans="2:43" x14ac:dyDescent="0.25">
      <c r="B439" s="81">
        <v>10</v>
      </c>
      <c r="C439" s="86" t="s">
        <v>90</v>
      </c>
      <c r="D439" s="86"/>
      <c r="E439" s="154">
        <f t="shared" si="347"/>
        <v>44135</v>
      </c>
      <c r="F439" s="164" t="s">
        <v>26</v>
      </c>
      <c r="G439" s="155" t="str">
        <f t="shared" si="343"/>
        <v/>
      </c>
      <c r="H439" s="29"/>
      <c r="I439" s="23">
        <f t="shared" si="348"/>
        <v>0</v>
      </c>
      <c r="J439" s="29"/>
      <c r="K439" s="46" t="str">
        <f t="shared" si="344"/>
        <v/>
      </c>
      <c r="L439" s="21">
        <f>IF(OR(F439="télétravail",F439="férié travaillé",F439="travail"),(J439-H439+IF(H439&gt;J439,1)-I439),INDEX(ref!$E$22:'ref'!$E$37,MATCH(F439,gerald3,0)))</f>
        <v>0.29166666666666669</v>
      </c>
      <c r="M439" s="13">
        <f>IF(SUM(L439-ref!E$8)&lt;0,0,SUM(L439-ref!E$8))</f>
        <v>0</v>
      </c>
      <c r="N439" s="252">
        <f>L439-(hs!D438+hs!F438+hs!H438+hs!J438)</f>
        <v>0.29166666666666669</v>
      </c>
      <c r="O439" s="8">
        <f>IF(OR(F439="férié travaillé",F439="travail",F439="asa",F439="rtt"),J439-H439+IF(H439&gt;J439,1),INDEX(ref!$E$22:'ref'!$E$37,MATCH(F439,gerald2,0)))</f>
        <v>0.29166666666666669</v>
      </c>
      <c r="P439" s="14">
        <f>IF(SUM(O439-ref!E$4)&lt;0,0,SUM(O439-ref!E$4))</f>
        <v>0</v>
      </c>
      <c r="Q439" s="24">
        <f t="shared" si="349"/>
        <v>1.4583333333333337</v>
      </c>
      <c r="S439" s="137"/>
      <c r="T439" s="92"/>
      <c r="U439" s="129"/>
      <c r="V439" s="142">
        <f t="shared" si="345"/>
        <v>0</v>
      </c>
      <c r="W439" s="141" t="str">
        <f>IF(V439="","",IF(SUM(V439-ref!E$38)&gt;0,0,IF(V439=0, "0:00", SUM(V439-ref!E$38))))</f>
        <v>0:00</v>
      </c>
      <c r="X439" s="137"/>
      <c r="Y439" s="92"/>
      <c r="Z439" s="247"/>
      <c r="AA439" s="142">
        <f t="shared" si="350"/>
        <v>0</v>
      </c>
      <c r="AB439" s="245" t="str">
        <f>IF(AA439="","",IF(SUM(AA439-ref!E$38)&gt;0,0,IF(AA439=0, "0:00", SUM(AA439-ref!E$38))))</f>
        <v>0:00</v>
      </c>
      <c r="AC439" s="29"/>
      <c r="AD439" s="106"/>
      <c r="AE439" s="117" t="s">
        <v>47</v>
      </c>
      <c r="AF439" s="77">
        <f t="shared" si="346"/>
        <v>1</v>
      </c>
      <c r="AG439" s="19"/>
      <c r="AH439" s="178" t="s">
        <v>75</v>
      </c>
      <c r="AI439" s="54" t="s">
        <v>68</v>
      </c>
      <c r="AJ439" s="177" t="s">
        <v>76</v>
      </c>
      <c r="AK439" s="55" t="str" cm="1">
        <f t="array" ref="AK439">IF(ISNUMBER(G440),G440-_xlfn.AGGREGATE(14,6,(K$4:K439&lt;G440)*K$4:K439,1),"")</f>
        <v/>
      </c>
      <c r="AL439" s="20" t="str">
        <f>IF(ISNUMBER(AK439),ABS(IF(SUM(AK439-ref!E$9)&gt;0,0,SUM(AK439-ref!E$9))),"")</f>
        <v/>
      </c>
      <c r="AQ439"/>
    </row>
    <row r="440" spans="2:43" ht="15.75" thickBot="1" x14ac:dyDescent="0.3">
      <c r="B440"/>
      <c r="C440"/>
      <c r="D440"/>
      <c r="E440" s="154">
        <f t="shared" si="347"/>
        <v>44136</v>
      </c>
      <c r="F440" s="164" t="s">
        <v>19</v>
      </c>
      <c r="G440" s="155" t="str">
        <f t="shared" si="343"/>
        <v/>
      </c>
      <c r="H440" s="29"/>
      <c r="I440" s="23">
        <f t="shared" si="348"/>
        <v>0</v>
      </c>
      <c r="J440" s="29"/>
      <c r="K440" s="46" t="str">
        <f t="shared" si="344"/>
        <v/>
      </c>
      <c r="L440" s="21">
        <f>IF(OR(F440="télétravail",F440="férié travaillé",F440="travail"),(J440-H440+IF(H440&gt;J440,1)-I440),INDEX(ref!$E$22:'ref'!$E$37,MATCH(F440,gerald3,0)))</f>
        <v>0</v>
      </c>
      <c r="M440" s="13">
        <f>IF(SUM(L440-ref!E$8)&lt;0,0,SUM(L440-ref!E$8))</f>
        <v>0</v>
      </c>
      <c r="N440" s="252">
        <f>L440-(hs!D439+hs!F439+hs!H439+hs!J439)</f>
        <v>0</v>
      </c>
      <c r="O440" s="8">
        <f>IF(OR(F440="férié travaillé",F440="travail",F440="asa",F440="rtt"),J440-H440+IF(H440&gt;J440,1),INDEX(ref!$E$22:'ref'!$E$37,MATCH(F440,gerald2,0)))</f>
        <v>0</v>
      </c>
      <c r="P440" s="14">
        <f>IF(SUM(O440-ref!E$4)&lt;0,0,SUM(O440-ref!E$4))</f>
        <v>0</v>
      </c>
      <c r="Q440" s="97">
        <f t="shared" si="349"/>
        <v>1.4583333333333337</v>
      </c>
      <c r="S440" s="137"/>
      <c r="T440" s="92"/>
      <c r="U440" s="129"/>
      <c r="V440" s="142">
        <f t="shared" si="345"/>
        <v>0</v>
      </c>
      <c r="W440" s="141" t="str">
        <f>IF(V440="","",IF(SUM(V440-ref!E$38)&gt;0,0,IF(V440=0, "0:00", SUM(V440-ref!E$38))))</f>
        <v>0:00</v>
      </c>
      <c r="X440" s="137"/>
      <c r="Y440" s="92"/>
      <c r="Z440" s="247"/>
      <c r="AA440" s="142">
        <f t="shared" si="350"/>
        <v>0</v>
      </c>
      <c r="AB440" s="245" t="str">
        <f>IF(AA440="","",IF(SUM(AA440-ref!E$38)&gt;0,0,IF(AA440=0, "0:00", SUM(AA440-ref!E$38))))</f>
        <v>0:00</v>
      </c>
      <c r="AC440" s="29"/>
      <c r="AD440" s="106"/>
      <c r="AE440" s="118">
        <f>ref!E$11</f>
        <v>2</v>
      </c>
      <c r="AF440" s="77">
        <f t="shared" si="346"/>
        <v>0</v>
      </c>
      <c r="AG440" s="19"/>
      <c r="AH440" s="178" t="s">
        <v>76</v>
      </c>
      <c r="AI440" s="54" t="s">
        <v>68</v>
      </c>
      <c r="AJ440" s="177" t="s">
        <v>77</v>
      </c>
      <c r="AK440" s="55" t="str" cm="1">
        <f t="array" ref="AK440">IF(ISNUMBER(G441),G441-_xlfn.AGGREGATE(14,6,(K$4:K440&lt;G441)*K$4:K440,1),"")</f>
        <v/>
      </c>
      <c r="AL440" s="20" t="str">
        <f>IF(ISNUMBER(AK440),ABS(IF(SUM(AK440-ref!E$9)&gt;0,0,SUM(AK440-ref!E$9))),"")</f>
        <v/>
      </c>
      <c r="AQ440"/>
    </row>
    <row r="441" spans="2:43" ht="15.75" thickBot="1" x14ac:dyDescent="0.3">
      <c r="B441"/>
      <c r="C441"/>
      <c r="D441"/>
      <c r="E441" s="154">
        <f t="shared" si="347"/>
        <v>44137</v>
      </c>
      <c r="F441" s="165" t="s">
        <v>19</v>
      </c>
      <c r="G441" s="155" t="str">
        <f t="shared" si="343"/>
        <v/>
      </c>
      <c r="H441" s="29"/>
      <c r="I441" s="23">
        <f t="shared" si="348"/>
        <v>0</v>
      </c>
      <c r="J441" s="29"/>
      <c r="K441" s="46" t="str">
        <f t="shared" si="344"/>
        <v/>
      </c>
      <c r="L441" s="21">
        <f>IF(OR(F441="télétravail",F441="férié travaillé",F441="travail"),(J441-H441+IF(H441&gt;J441,1)-I441),INDEX(ref!$E$22:'ref'!$E$37,MATCH(F441,gerald3,0)))</f>
        <v>0</v>
      </c>
      <c r="M441" s="13">
        <f>IF(SUM(L441-ref!E$8)&lt;0,0,SUM(L441-ref!E$8))</f>
        <v>0</v>
      </c>
      <c r="N441" s="252">
        <f>L441-(hs!D440+hs!F440+hs!H440+hs!J440)</f>
        <v>0</v>
      </c>
      <c r="O441" s="8">
        <f>IF(OR(F441="férié travaillé",F441="travail",F441="asa",F441="rtt"),J441-H441+IF(H441&gt;J441,1),INDEX(ref!$E$22:'ref'!$E$37,MATCH(F441,gerald2,0)))</f>
        <v>0</v>
      </c>
      <c r="P441" s="14">
        <f>IF(SUM(O441-ref!E$4)&lt;0,0,SUM(O441-ref!E$4))</f>
        <v>0</v>
      </c>
      <c r="Q441" s="94">
        <f t="shared" si="349"/>
        <v>1.4583333333333337</v>
      </c>
      <c r="S441" s="138"/>
      <c r="T441" s="92"/>
      <c r="U441" s="129"/>
      <c r="V441" s="142">
        <f t="shared" si="345"/>
        <v>0</v>
      </c>
      <c r="W441" s="141" t="str">
        <f>IF(V441="","",IF(SUM(V441-ref!E$38)&gt;0,0,IF(V441=0, "0:00", SUM(V441-ref!E$38))))</f>
        <v>0:00</v>
      </c>
      <c r="X441" s="138"/>
      <c r="Y441" s="92"/>
      <c r="Z441" s="247"/>
      <c r="AA441" s="142">
        <f t="shared" si="350"/>
        <v>0</v>
      </c>
      <c r="AB441" s="246" t="str">
        <f>IF(AA441="","",IF(SUM(AA441-ref!E$38)&gt;0,0,IF(AA441=0, "0:00", SUM(AA441-ref!E$38))))</f>
        <v>0:00</v>
      </c>
      <c r="AC441" s="29"/>
      <c r="AD441" s="106"/>
      <c r="AE441" s="110">
        <f>IF(SUM(Q441-ref!E$11)&lt;0,0,SUM(Q441-ref!E$11))</f>
        <v>0</v>
      </c>
      <c r="AF441" s="77">
        <f t="shared" si="346"/>
        <v>0</v>
      </c>
      <c r="AG441" s="19"/>
      <c r="AQ441"/>
    </row>
    <row r="442" spans="2:43" x14ac:dyDescent="0.25">
      <c r="W442" s="74"/>
      <c r="X442" s="2"/>
      <c r="Z442"/>
      <c r="AA442" s="2"/>
      <c r="AB442" s="2"/>
      <c r="AC442" s="127"/>
      <c r="AQ442"/>
    </row>
    <row r="443" spans="2:43" x14ac:dyDescent="0.25">
      <c r="X443" s="2"/>
      <c r="Z443"/>
      <c r="AA443" s="2"/>
      <c r="AB443" s="2"/>
      <c r="AC443" s="127"/>
      <c r="AQ443"/>
    </row>
    <row r="444" spans="2:43" ht="15.75" thickBot="1" x14ac:dyDescent="0.3">
      <c r="W444" s="74"/>
      <c r="X444" s="2"/>
      <c r="Z444"/>
      <c r="AA444" s="2"/>
      <c r="AB444" s="2"/>
      <c r="AC444" s="127"/>
      <c r="AJ444" s="2"/>
    </row>
    <row r="445" spans="2:43" x14ac:dyDescent="0.25">
      <c r="B445" s="78" t="s">
        <v>1</v>
      </c>
      <c r="C445" s="86" t="s">
        <v>20</v>
      </c>
      <c r="D445" s="86"/>
      <c r="E445" s="154">
        <f>DATE(ref!E$2,B449,B447)</f>
        <v>44138</v>
      </c>
      <c r="F445" s="163" t="s">
        <v>20</v>
      </c>
      <c r="G445" s="155">
        <f t="shared" ref="G445:G451" si="351">IF(AND(J445="",H445=""),"",E445+H445)</f>
        <v>44138.375</v>
      </c>
      <c r="H445" s="29">
        <v>0.375</v>
      </c>
      <c r="I445" s="23">
        <f>SUM(V445+AA445+AC445)</f>
        <v>4.166666666666663E-2</v>
      </c>
      <c r="J445" s="29">
        <v>0.70833333333333337</v>
      </c>
      <c r="K445" s="46">
        <f t="shared" ref="K445:K451" si="352">IF(AND(H445="",J445=""),"",E445+J445+(H445&gt;J445))</f>
        <v>44138.708333333336</v>
      </c>
      <c r="L445" s="21">
        <f>IF(OR(F445="télétravail",F445="férié travaillé",F445="travail"),(J445-H445+IF(H445&gt;J445,1)-I445),INDEX(ref!$E$22:'ref'!$E$37,MATCH(F445,gerald3,0)))</f>
        <v>0.29166666666666674</v>
      </c>
      <c r="M445" s="13">
        <f>IF(SUM(L445-ref!E$8)&lt;0,0,SUM(L445-ref!E$8))</f>
        <v>0</v>
      </c>
      <c r="N445" s="252">
        <f>L445-(hs!D444+hs!F444+hs!H444+hs!J444)</f>
        <v>-4.166666666666663E-2</v>
      </c>
      <c r="O445" s="8">
        <f>IF(OR(F445="férié travaillé",F445="travail",F445="asa",F445="rtt"),J445-H445+IF(H445&gt;J445,1),INDEX(ref!$E$22:'ref'!$E$37,MATCH(F445,gerald2,0)))</f>
        <v>0.33333333333333337</v>
      </c>
      <c r="P445" s="14">
        <f>IF(SUM(O445-ref!E$4)&lt;0,0,SUM(O445-ref!E$4))</f>
        <v>0</v>
      </c>
      <c r="Q445" s="166">
        <f>L445</f>
        <v>0.29166666666666674</v>
      </c>
      <c r="S445" s="136"/>
      <c r="T445" s="92">
        <v>0.52083333333333337</v>
      </c>
      <c r="U445" s="129">
        <v>0.5625</v>
      </c>
      <c r="V445" s="142">
        <f t="shared" ref="V445:V451" si="353">U445-T445</f>
        <v>4.166666666666663E-2</v>
      </c>
      <c r="W445" s="141">
        <f>IF(V445="","",IF(SUM(V445-ref!E$38)&gt;0,0,IF(V445=0, "0:00", SUM(V445-ref!E$38))))</f>
        <v>0</v>
      </c>
      <c r="X445" s="136"/>
      <c r="Y445" s="92"/>
      <c r="Z445" s="247"/>
      <c r="AA445" s="142">
        <f>Z445-Y445</f>
        <v>0</v>
      </c>
      <c r="AB445" s="244" t="str">
        <f>IF(AA445="","",IF(SUM(AA445-ref!E$38)&gt;0,0,IF(AA445=0, "0:00", SUM(AA445-ref!E$38))))</f>
        <v>0:00</v>
      </c>
      <c r="AC445" s="29"/>
      <c r="AD445" s="106"/>
      <c r="AE445" s="111">
        <f>SUM(AF445:AF451)</f>
        <v>5</v>
      </c>
      <c r="AF445" s="77">
        <f t="shared" ref="AF445:AF451" si="354">IF(AND(H445&lt;&gt;"",J445&lt;&gt;""),1,0+OR(N(J444)&lt;N(H444),F445="récupération",F445="congé 1 jour",F445="congé 1/2 jour ",F445="congé 5h24",F445="arrêt maladie",F445="arrêt travail",F445="férié ",F445="congé parentale",F445="congé de naissance"))</f>
        <v>1</v>
      </c>
      <c r="AG445" s="19"/>
      <c r="AH445" s="176" t="s">
        <v>71</v>
      </c>
      <c r="AI445" s="54" t="s">
        <v>68</v>
      </c>
      <c r="AJ445" s="177" t="s">
        <v>72</v>
      </c>
      <c r="AK445" s="55" cm="1">
        <f t="array" ref="AK445">IF(ISNUMBER(G446),G446-_xlfn.AGGREGATE(14,6,(K$4:K445&lt;G446)*K$4:K445,1),"")</f>
        <v>0.66666666666424135</v>
      </c>
      <c r="AL445" s="20">
        <f>IF(ISNUMBER(AK445),ABS(IF(SUM(AK445-ref!E$9)&gt;0,0,SUM(AK445-ref!E$9))),"")</f>
        <v>0</v>
      </c>
      <c r="AQ445"/>
    </row>
    <row r="446" spans="2:43" x14ac:dyDescent="0.25">
      <c r="B446" s="79" t="s">
        <v>1</v>
      </c>
      <c r="C446" s="86" t="s">
        <v>20</v>
      </c>
      <c r="D446" s="86"/>
      <c r="E446" s="154">
        <f t="shared" ref="E446:E451" si="355">E445+1</f>
        <v>44139</v>
      </c>
      <c r="F446" s="164" t="s">
        <v>20</v>
      </c>
      <c r="G446" s="155">
        <f t="shared" si="351"/>
        <v>44139.375</v>
      </c>
      <c r="H446" s="29">
        <v>0.375</v>
      </c>
      <c r="I446" s="23">
        <f t="shared" ref="I446:I451" si="356">SUM(V446+AA446+AC446)</f>
        <v>4.166666666666663E-2</v>
      </c>
      <c r="J446" s="29">
        <v>0.70833333333333337</v>
      </c>
      <c r="K446" s="46">
        <f t="shared" si="352"/>
        <v>44139.708333333336</v>
      </c>
      <c r="L446" s="21">
        <f>IF(OR(F446="télétravail",F446="férié travaillé",F446="travail"),(J446-H446+IF(H446&gt;J446,1)-I446),INDEX(ref!$E$22:'ref'!$E$37,MATCH(F446,gerald3,0)))</f>
        <v>0.29166666666666674</v>
      </c>
      <c r="M446" s="13">
        <f>IF(SUM(L446-ref!E$8)&lt;0,0,SUM(L446-ref!E$8))</f>
        <v>0</v>
      </c>
      <c r="N446" s="252">
        <f>L446-(hs!D445+hs!F445+hs!H445+hs!J445)</f>
        <v>-4.166666666666663E-2</v>
      </c>
      <c r="O446" s="8">
        <f>IF(OR(F446="férié travaillé",F446="travail",F446="asa",F446="rtt"),J446-H446+IF(H446&gt;J446,1),INDEX(ref!$E$22:'ref'!$E$37,MATCH(F446,gerald2,0)))</f>
        <v>0.33333333333333337</v>
      </c>
      <c r="P446" s="14">
        <f>IF(SUM(O446-ref!E$4)&lt;0,0,SUM(O446-ref!E$4))</f>
        <v>0</v>
      </c>
      <c r="Q446" s="98">
        <f t="shared" ref="Q446:Q451" si="357">Q445+L446</f>
        <v>0.58333333333333348</v>
      </c>
      <c r="S446" s="137"/>
      <c r="T446" s="92">
        <v>0.52083333333333337</v>
      </c>
      <c r="U446" s="129">
        <v>0.5625</v>
      </c>
      <c r="V446" s="142">
        <f t="shared" si="353"/>
        <v>4.166666666666663E-2</v>
      </c>
      <c r="W446" s="141">
        <f>IF(V446="","",IF(SUM(V446-ref!E$38)&gt;0,0,IF(V446=0, "0:00", SUM(V446-ref!E$38))))</f>
        <v>0</v>
      </c>
      <c r="X446" s="137"/>
      <c r="Y446" s="92"/>
      <c r="Z446" s="247"/>
      <c r="AA446" s="142">
        <f t="shared" ref="AA446:AA451" si="358">Z446-Y446</f>
        <v>0</v>
      </c>
      <c r="AB446" s="245" t="str">
        <f>IF(AA446="","",IF(SUM(AA446-ref!E$38)&gt;0,0,IF(AA446=0, "0:00", SUM(AA446-ref!E$38))))</f>
        <v>0:00</v>
      </c>
      <c r="AC446" s="29"/>
      <c r="AD446" s="106"/>
      <c r="AE446" s="112">
        <f>IF(SUM(AE445-ref!E$7)&lt;0,0,SUM(AE445-ref!E$7))</f>
        <v>0</v>
      </c>
      <c r="AF446" s="77">
        <f t="shared" si="354"/>
        <v>1</v>
      </c>
      <c r="AG446" s="19"/>
      <c r="AH446" s="178" t="s">
        <v>72</v>
      </c>
      <c r="AI446" s="54" t="s">
        <v>68</v>
      </c>
      <c r="AJ446" s="177" t="s">
        <v>73</v>
      </c>
      <c r="AK446" s="55" cm="1">
        <f t="array" ref="AK446">IF(ISNUMBER(G447),G447-_xlfn.AGGREGATE(14,6,(K$4:K446&lt;G447)*K$4:K446,1),"")</f>
        <v>0.66666666666424135</v>
      </c>
      <c r="AL446" s="20">
        <f>IF(ISNUMBER(AK446),ABS(IF(SUM(AK446-ref!E$9)&gt;0,0,SUM(AK446-ref!E$9))),"")</f>
        <v>0</v>
      </c>
      <c r="AQ446"/>
    </row>
    <row r="447" spans="2:43" x14ac:dyDescent="0.25">
      <c r="B447" s="80">
        <v>4</v>
      </c>
      <c r="C447" s="86" t="s">
        <v>20</v>
      </c>
      <c r="D447" s="86"/>
      <c r="E447" s="154">
        <f t="shared" si="355"/>
        <v>44140</v>
      </c>
      <c r="F447" s="164" t="s">
        <v>20</v>
      </c>
      <c r="G447" s="155">
        <f t="shared" si="351"/>
        <v>44140.375</v>
      </c>
      <c r="H447" s="29">
        <v>0.375</v>
      </c>
      <c r="I447" s="23">
        <f t="shared" si="356"/>
        <v>4.166666666666663E-2</v>
      </c>
      <c r="J447" s="29">
        <v>0.70833333333333337</v>
      </c>
      <c r="K447" s="46">
        <f t="shared" si="352"/>
        <v>44140.708333333336</v>
      </c>
      <c r="L447" s="21">
        <f>IF(OR(F447="télétravail",F447="férié travaillé",F447="travail"),(J447-H447+IF(H447&gt;J447,1)-I447),INDEX(ref!$E$22:'ref'!$E$37,MATCH(F447,gerald3,0)))</f>
        <v>0.29166666666666674</v>
      </c>
      <c r="M447" s="13">
        <f>IF(SUM(L447-ref!E$8)&lt;0,0,SUM(L447-ref!E$8))</f>
        <v>0</v>
      </c>
      <c r="N447" s="252">
        <f>L447-(hs!D446+hs!F446+hs!H446+hs!J446)</f>
        <v>-4.166666666666663E-2</v>
      </c>
      <c r="O447" s="8">
        <f>IF(OR(F447="férié travaillé",F447="travail",F447="asa",F447="rtt"),J447-H447+IF(H447&gt;J447,1),INDEX(ref!$E$22:'ref'!$E$37,MATCH(F447,gerald2,0)))</f>
        <v>0.33333333333333337</v>
      </c>
      <c r="P447" s="14">
        <f>IF(SUM(O447-ref!E$4)&lt;0,0,SUM(O447-ref!E$4))</f>
        <v>0</v>
      </c>
      <c r="Q447" s="98">
        <f t="shared" si="357"/>
        <v>0.87500000000000022</v>
      </c>
      <c r="S447" s="137"/>
      <c r="T447" s="92">
        <v>0.52083333333333337</v>
      </c>
      <c r="U447" s="129">
        <v>0.5625</v>
      </c>
      <c r="V447" s="142">
        <f t="shared" si="353"/>
        <v>4.166666666666663E-2</v>
      </c>
      <c r="W447" s="141">
        <f>IF(V447="","",IF(SUM(V447-ref!E$38)&gt;0,0,IF(V447=0, "0:00", SUM(V447-ref!E$38))))</f>
        <v>0</v>
      </c>
      <c r="X447" s="137"/>
      <c r="Y447" s="92"/>
      <c r="Z447" s="247"/>
      <c r="AA447" s="142">
        <f t="shared" si="358"/>
        <v>0</v>
      </c>
      <c r="AB447" s="245" t="str">
        <f>IF(AA447="","",IF(SUM(AA447-ref!E$38)&gt;0,0,IF(AA447=0, "0:00", SUM(AA447-ref!E$38))))</f>
        <v>0:00</v>
      </c>
      <c r="AC447" s="29"/>
      <c r="AD447" s="106"/>
      <c r="AE447" s="113" t="s">
        <v>29</v>
      </c>
      <c r="AF447" s="77">
        <f t="shared" si="354"/>
        <v>1</v>
      </c>
      <c r="AG447" s="19"/>
      <c r="AH447" s="178" t="s">
        <v>73</v>
      </c>
      <c r="AI447" s="54" t="s">
        <v>68</v>
      </c>
      <c r="AJ447" s="177" t="s">
        <v>74</v>
      </c>
      <c r="AK447" s="55" cm="1">
        <f t="array" ref="AK447">IF(ISNUMBER(G448),G448-_xlfn.AGGREGATE(14,6,(K$4:K447&lt;G448)*K$4:K447,1),"")</f>
        <v>0.66666666666424135</v>
      </c>
      <c r="AL447" s="20">
        <f>IF(ISNUMBER(AK447),ABS(IF(SUM(AK447-ref!E$9)&gt;0,0,SUM(AK447-ref!E$9))),"")</f>
        <v>0</v>
      </c>
      <c r="AQ447"/>
    </row>
    <row r="448" spans="2:43" x14ac:dyDescent="0.25">
      <c r="B448" s="79" t="s">
        <v>58</v>
      </c>
      <c r="C448" s="86" t="s">
        <v>20</v>
      </c>
      <c r="D448" s="86"/>
      <c r="E448" s="154">
        <f t="shared" si="355"/>
        <v>44141</v>
      </c>
      <c r="F448" s="164" t="s">
        <v>20</v>
      </c>
      <c r="G448" s="155">
        <f t="shared" si="351"/>
        <v>44141.375</v>
      </c>
      <c r="H448" s="29">
        <v>0.375</v>
      </c>
      <c r="I448" s="23">
        <f t="shared" si="356"/>
        <v>4.166666666666663E-2</v>
      </c>
      <c r="J448" s="29">
        <v>0.70833333333333337</v>
      </c>
      <c r="K448" s="46">
        <f t="shared" si="352"/>
        <v>44141.708333333336</v>
      </c>
      <c r="L448" s="21">
        <f>IF(OR(F448="télétravail",F448="férié travaillé",F448="travail"),(J448-H448+IF(H448&gt;J448,1)-I448),INDEX(ref!$E$22:'ref'!$E$37,MATCH(F448,gerald3,0)))</f>
        <v>0.29166666666666674</v>
      </c>
      <c r="M448" s="13">
        <f>IF(SUM(L448-ref!E$8)&lt;0,0,SUM(L448-ref!E$8))</f>
        <v>0</v>
      </c>
      <c r="N448" s="252">
        <f>L448-(hs!D447+hs!F447+hs!H447+hs!J447)</f>
        <v>-4.166666666666663E-2</v>
      </c>
      <c r="O448" s="8">
        <f>IF(OR(F448="férié travaillé",F448="travail",F448="asa",F448="rtt"),J448-H448+IF(H448&gt;J448,1),INDEX(ref!$E$22:'ref'!$E$37,MATCH(F448,gerald2,0)))</f>
        <v>0.33333333333333337</v>
      </c>
      <c r="P448" s="14">
        <f>IF(SUM(O448-ref!E$4)&lt;0,0,SUM(O448-ref!E$4))</f>
        <v>0</v>
      </c>
      <c r="Q448" s="98">
        <f t="shared" si="357"/>
        <v>1.166666666666667</v>
      </c>
      <c r="S448" s="137"/>
      <c r="T448" s="92">
        <v>0.52083333333333337</v>
      </c>
      <c r="U448" s="129">
        <v>0.5625</v>
      </c>
      <c r="V448" s="142">
        <f t="shared" si="353"/>
        <v>4.166666666666663E-2</v>
      </c>
      <c r="W448" s="141">
        <f>IF(V448="","",IF(SUM(V448-ref!E$38)&gt;0,0,IF(V448=0, "0:00", SUM(V448-ref!E$38))))</f>
        <v>0</v>
      </c>
      <c r="X448" s="137"/>
      <c r="Y448" s="92"/>
      <c r="Z448" s="247"/>
      <c r="AA448" s="142">
        <f t="shared" si="358"/>
        <v>0</v>
      </c>
      <c r="AB448" s="245" t="str">
        <f>IF(AA448="","",IF(SUM(AA448-ref!E$38)&gt;0,0,IF(AA448=0, "0:00", SUM(AA448-ref!E$38))))</f>
        <v>0:00</v>
      </c>
      <c r="AC448" s="29"/>
      <c r="AD448" s="106"/>
      <c r="AE448" s="114">
        <f>Q451</f>
        <v>1.4583333333333337</v>
      </c>
      <c r="AF448" s="77">
        <f t="shared" si="354"/>
        <v>1</v>
      </c>
      <c r="AG448" s="19"/>
      <c r="AH448" s="178" t="s">
        <v>74</v>
      </c>
      <c r="AI448" s="54" t="s">
        <v>68</v>
      </c>
      <c r="AJ448" s="177" t="s">
        <v>75</v>
      </c>
      <c r="AK448" s="55" cm="1">
        <f t="array" ref="AK448">IF(ISNUMBER(G449),G449-_xlfn.AGGREGATE(14,6,(K$4:K448&lt;G449)*K$4:K448,1),"")</f>
        <v>0.66666666666424135</v>
      </c>
      <c r="AL448" s="20">
        <f>IF(ISNUMBER(AK448),ABS(IF(SUM(AK448-ref!E$9)&gt;0,0,SUM(AK448-ref!E$9))),"")</f>
        <v>0</v>
      </c>
      <c r="AQ448"/>
    </row>
    <row r="449" spans="2:43" x14ac:dyDescent="0.25">
      <c r="B449" s="81">
        <v>11</v>
      </c>
      <c r="C449" s="86" t="s">
        <v>20</v>
      </c>
      <c r="D449" s="86"/>
      <c r="E449" s="154">
        <f t="shared" si="355"/>
        <v>44142</v>
      </c>
      <c r="F449" s="164" t="s">
        <v>20</v>
      </c>
      <c r="G449" s="155">
        <f t="shared" si="351"/>
        <v>44142.375</v>
      </c>
      <c r="H449" s="29">
        <v>0.375</v>
      </c>
      <c r="I449" s="23">
        <f t="shared" si="356"/>
        <v>4.166666666666663E-2</v>
      </c>
      <c r="J449" s="29">
        <v>0.70833333333333337</v>
      </c>
      <c r="K449" s="46">
        <f t="shared" si="352"/>
        <v>44142.708333333336</v>
      </c>
      <c r="L449" s="21">
        <f>IF(OR(F449="télétravail",F449="férié travaillé",F449="travail"),(J449-H449+IF(H449&gt;J449,1)-I449),INDEX(ref!$E$22:'ref'!$E$37,MATCH(F449,gerald3,0)))</f>
        <v>0.29166666666666674</v>
      </c>
      <c r="M449" s="13">
        <f>IF(SUM(L449-ref!E$8)&lt;0,0,SUM(L449-ref!E$8))</f>
        <v>0</v>
      </c>
      <c r="N449" s="252">
        <f>L449-(hs!D448+hs!F448+hs!H448+hs!J448)</f>
        <v>-4.166666666666663E-2</v>
      </c>
      <c r="O449" s="8">
        <f>IF(OR(F449="férié travaillé",F449="travail",F449="asa",F449="rtt"),J449-H449+IF(H449&gt;J449,1),INDEX(ref!$E$22:'ref'!$E$37,MATCH(F449,gerald2,0)))</f>
        <v>0.33333333333333337</v>
      </c>
      <c r="P449" s="14">
        <f>IF(SUM(O449-ref!E$4)&lt;0,0,SUM(O449-ref!E$4))</f>
        <v>0</v>
      </c>
      <c r="Q449" s="143">
        <f t="shared" si="357"/>
        <v>1.4583333333333337</v>
      </c>
      <c r="S449" s="137"/>
      <c r="T449" s="92">
        <v>0.52083333333333337</v>
      </c>
      <c r="U449" s="129">
        <v>0.5625</v>
      </c>
      <c r="V449" s="142">
        <f t="shared" si="353"/>
        <v>4.166666666666663E-2</v>
      </c>
      <c r="W449" s="141">
        <f>IF(V449="","",IF(SUM(V449-ref!E$38)&gt;0,0,IF(V449=0, "0:00", SUM(V449-ref!E$38))))</f>
        <v>0</v>
      </c>
      <c r="X449" s="137"/>
      <c r="Y449" s="92"/>
      <c r="Z449" s="247"/>
      <c r="AA449" s="142">
        <f t="shared" si="358"/>
        <v>0</v>
      </c>
      <c r="AB449" s="245" t="str">
        <f>IF(AA449="","",IF(SUM(AA449-ref!E$38)&gt;0,0,IF(AA449=0, "0:00", SUM(AA449-ref!E$38))))</f>
        <v>0:00</v>
      </c>
      <c r="AC449" s="29"/>
      <c r="AD449" s="106"/>
      <c r="AE449" s="117" t="s">
        <v>47</v>
      </c>
      <c r="AF449" s="77">
        <f t="shared" si="354"/>
        <v>1</v>
      </c>
      <c r="AG449" s="19"/>
      <c r="AH449" s="178" t="s">
        <v>75</v>
      </c>
      <c r="AI449" s="54" t="s">
        <v>68</v>
      </c>
      <c r="AJ449" s="177" t="s">
        <v>76</v>
      </c>
      <c r="AK449" s="55" t="str" cm="1">
        <f t="array" ref="AK449">IF(ISNUMBER(G450),G450-_xlfn.AGGREGATE(14,6,(K$4:K449&lt;G450)*K$4:K449,1),"")</f>
        <v/>
      </c>
      <c r="AL449" s="20" t="str">
        <f>IF(ISNUMBER(AK449),ABS(IF(SUM(AK449-ref!E$9)&gt;0,0,SUM(AK449-ref!E$9))),"")</f>
        <v/>
      </c>
      <c r="AQ449"/>
    </row>
    <row r="450" spans="2:43" ht="15.75" thickBot="1" x14ac:dyDescent="0.3">
      <c r="B450"/>
      <c r="C450"/>
      <c r="D450"/>
      <c r="E450" s="154">
        <f t="shared" si="355"/>
        <v>44143</v>
      </c>
      <c r="F450" s="164" t="s">
        <v>19</v>
      </c>
      <c r="G450" s="155" t="str">
        <f t="shared" si="351"/>
        <v/>
      </c>
      <c r="H450" s="29"/>
      <c r="I450" s="23">
        <f t="shared" si="356"/>
        <v>0</v>
      </c>
      <c r="J450" s="29"/>
      <c r="K450" s="46" t="str">
        <f t="shared" si="352"/>
        <v/>
      </c>
      <c r="L450" s="21">
        <f>IF(OR(F450="télétravail",F450="férié travaillé",F450="travail"),(J450-H450+IF(H450&gt;J450,1)-I450),INDEX(ref!$E$22:'ref'!$E$37,MATCH(F450,gerald3,0)))</f>
        <v>0</v>
      </c>
      <c r="M450" s="13">
        <f>IF(SUM(L450-ref!E$8)&lt;0,0,SUM(L450-ref!E$8))</f>
        <v>0</v>
      </c>
      <c r="N450" s="252">
        <f>L450-(hs!D449+hs!F449+hs!H449+hs!J449)</f>
        <v>0</v>
      </c>
      <c r="O450" s="8">
        <f>IF(OR(F450="férié travaillé",F450="travail",F450="asa",F450="rtt"),J450-H450+IF(H450&gt;J450,1),INDEX(ref!$E$22:'ref'!$E$37,MATCH(F450,gerald2,0)))</f>
        <v>0</v>
      </c>
      <c r="P450" s="14">
        <f>IF(SUM(O450-ref!E$4)&lt;0,0,SUM(O450-ref!E$4))</f>
        <v>0</v>
      </c>
      <c r="Q450" s="97">
        <f t="shared" si="357"/>
        <v>1.4583333333333337</v>
      </c>
      <c r="S450" s="137"/>
      <c r="T450" s="92"/>
      <c r="U450" s="129"/>
      <c r="V450" s="142">
        <f t="shared" si="353"/>
        <v>0</v>
      </c>
      <c r="W450" s="141" t="str">
        <f>IF(V450="","",IF(SUM(V450-ref!E$38)&gt;0,0,IF(V450=0, "0:00", SUM(V450-ref!E$38))))</f>
        <v>0:00</v>
      </c>
      <c r="X450" s="137"/>
      <c r="Y450" s="92"/>
      <c r="Z450" s="247"/>
      <c r="AA450" s="142">
        <f t="shared" si="358"/>
        <v>0</v>
      </c>
      <c r="AB450" s="245" t="str">
        <f>IF(AA450="","",IF(SUM(AA450-ref!E$38)&gt;0,0,IF(AA450=0, "0:00", SUM(AA450-ref!E$38))))</f>
        <v>0:00</v>
      </c>
      <c r="AC450" s="29"/>
      <c r="AD450" s="106"/>
      <c r="AE450" s="118">
        <f>ref!E$11</f>
        <v>2</v>
      </c>
      <c r="AF450" s="77">
        <f t="shared" si="354"/>
        <v>0</v>
      </c>
      <c r="AG450" s="19"/>
      <c r="AH450" s="178" t="s">
        <v>76</v>
      </c>
      <c r="AI450" s="54" t="s">
        <v>68</v>
      </c>
      <c r="AJ450" s="177" t="s">
        <v>77</v>
      </c>
      <c r="AK450" s="55" t="str" cm="1">
        <f t="array" ref="AK450">IF(ISNUMBER(G451),G451-_xlfn.AGGREGATE(14,6,(K$4:K450&lt;G451)*K$4:K450,1),"")</f>
        <v/>
      </c>
      <c r="AL450" s="20" t="str">
        <f>IF(ISNUMBER(AK450),ABS(IF(SUM(AK450-ref!E$9)&gt;0,0,SUM(AK450-ref!E$9))),"")</f>
        <v/>
      </c>
      <c r="AQ450"/>
    </row>
    <row r="451" spans="2:43" ht="15.75" thickBot="1" x14ac:dyDescent="0.3">
      <c r="B451"/>
      <c r="C451"/>
      <c r="D451"/>
      <c r="E451" s="154">
        <f t="shared" si="355"/>
        <v>44144</v>
      </c>
      <c r="F451" s="165" t="s">
        <v>19</v>
      </c>
      <c r="G451" s="155" t="str">
        <f t="shared" si="351"/>
        <v/>
      </c>
      <c r="H451" s="29"/>
      <c r="I451" s="23">
        <f t="shared" si="356"/>
        <v>0</v>
      </c>
      <c r="J451" s="29"/>
      <c r="K451" s="46" t="str">
        <f t="shared" si="352"/>
        <v/>
      </c>
      <c r="L451" s="21">
        <f>IF(OR(F451="télétravail",F451="férié travaillé",F451="travail"),(J451-H451+IF(H451&gt;J451,1)-I451),INDEX(ref!$E$22:'ref'!$E$37,MATCH(F451,gerald3,0)))</f>
        <v>0</v>
      </c>
      <c r="M451" s="13">
        <f>IF(SUM(L451-ref!E$8)&lt;0,0,SUM(L451-ref!E$8))</f>
        <v>0</v>
      </c>
      <c r="N451" s="252">
        <f>L451-(hs!D450+hs!F450+hs!H450+hs!J450)</f>
        <v>0</v>
      </c>
      <c r="O451" s="8">
        <f>IF(OR(F451="férié travaillé",F451="travail",F451="asa",F451="rtt"),J451-H451+IF(H451&gt;J451,1),INDEX(ref!$E$22:'ref'!$E$37,MATCH(F451,gerald2,0)))</f>
        <v>0</v>
      </c>
      <c r="P451" s="14">
        <f>IF(SUM(O451-ref!E$4)&lt;0,0,SUM(O451-ref!E$4))</f>
        <v>0</v>
      </c>
      <c r="Q451" s="94">
        <f t="shared" si="357"/>
        <v>1.4583333333333337</v>
      </c>
      <c r="S451" s="138"/>
      <c r="T451" s="92"/>
      <c r="U451" s="129"/>
      <c r="V451" s="142">
        <f t="shared" si="353"/>
        <v>0</v>
      </c>
      <c r="W451" s="141" t="str">
        <f>IF(V451="","",IF(SUM(V451-ref!E$38)&gt;0,0,IF(V451=0, "0:00", SUM(V451-ref!E$38))))</f>
        <v>0:00</v>
      </c>
      <c r="X451" s="138"/>
      <c r="Y451" s="92"/>
      <c r="Z451" s="247"/>
      <c r="AA451" s="142">
        <f t="shared" si="358"/>
        <v>0</v>
      </c>
      <c r="AB451" s="246" t="str">
        <f>IF(AA451="","",IF(SUM(AA451-ref!E$38)&gt;0,0,IF(AA451=0, "0:00", SUM(AA451-ref!E$38))))</f>
        <v>0:00</v>
      </c>
      <c r="AC451" s="29"/>
      <c r="AD451" s="106"/>
      <c r="AE451" s="110">
        <f>IF(SUM(Q451-ref!E$11)&lt;0,0,SUM(Q451-ref!E$11))</f>
        <v>0</v>
      </c>
      <c r="AF451" s="77">
        <f t="shared" si="354"/>
        <v>0</v>
      </c>
      <c r="AG451" s="19"/>
      <c r="AQ451"/>
    </row>
    <row r="452" spans="2:43" x14ac:dyDescent="0.25">
      <c r="W452" s="74"/>
      <c r="X452" s="127"/>
      <c r="Z452"/>
      <c r="AA452" s="2"/>
      <c r="AB452" s="2"/>
      <c r="AC452" s="127"/>
      <c r="AQ452"/>
    </row>
    <row r="453" spans="2:43" x14ac:dyDescent="0.25">
      <c r="Y453" s="127"/>
      <c r="Z453"/>
      <c r="AA453" s="2"/>
      <c r="AB453" s="2"/>
      <c r="AC453" s="127"/>
      <c r="AQ453"/>
    </row>
    <row r="454" spans="2:43" ht="15.75" thickBot="1" x14ac:dyDescent="0.3">
      <c r="W454" s="74"/>
      <c r="X454" s="2"/>
      <c r="Z454"/>
      <c r="AA454" s="2"/>
      <c r="AB454" s="2"/>
      <c r="AC454" s="127"/>
      <c r="AJ454" s="2"/>
    </row>
    <row r="455" spans="2:43" ht="15.75" thickBot="1" x14ac:dyDescent="0.3">
      <c r="B455" s="78" t="s">
        <v>1</v>
      </c>
      <c r="C455" s="88" t="s">
        <v>20</v>
      </c>
      <c r="D455" s="88"/>
      <c r="E455" s="154">
        <f>DATE(ref!E$2,B459,B457)</f>
        <v>44145</v>
      </c>
      <c r="F455" s="163" t="s">
        <v>26</v>
      </c>
      <c r="G455" s="155" t="str">
        <f t="shared" ref="G455:G461" si="359">IF(AND(J455="",H455=""),"",E455+H455)</f>
        <v/>
      </c>
      <c r="H455" s="29"/>
      <c r="I455" s="23">
        <f>SUM(V455+AA455+AC455)</f>
        <v>0</v>
      </c>
      <c r="J455" s="29"/>
      <c r="K455" s="46" t="str">
        <f t="shared" ref="K455:K461" si="360">IF(AND(H455="",J455=""),"",E455+J455+(H455&gt;J455))</f>
        <v/>
      </c>
      <c r="L455" s="21">
        <f>IF(OR(F455="télétravail",F455="férié travaillé",F455="travail"),(J455-H455+IF(H455&gt;J455,1)-I455),INDEX(ref!$E$22:'ref'!$E$37,MATCH(F455,gerald3,0)))</f>
        <v>0.29166666666666669</v>
      </c>
      <c r="M455" s="13">
        <f>IF(SUM(L455-ref!E$8)&lt;0,0,SUM(L455-ref!E$8))</f>
        <v>0</v>
      </c>
      <c r="N455" s="252">
        <f>L455-(hs!D454+hs!F454+hs!H454+hs!J454)</f>
        <v>0.29166666666666669</v>
      </c>
      <c r="O455" s="8">
        <f>IF(OR(F455="férié travaillé",F455="travail",F455="asa",F455="rtt"),J455-H455+IF(H455&gt;J455,1),INDEX(ref!$E$22:'ref'!$E$37,MATCH(F455,gerald2,0)))</f>
        <v>0.29166666666666669</v>
      </c>
      <c r="P455" s="14">
        <f>IF(SUM(O455-ref!E$4)&lt;0,0,SUM(O455-ref!E$4))</f>
        <v>0</v>
      </c>
      <c r="Q455" s="166">
        <f>L455</f>
        <v>0.29166666666666669</v>
      </c>
      <c r="S455" s="136"/>
      <c r="T455" s="92"/>
      <c r="U455" s="129"/>
      <c r="V455" s="142">
        <f t="shared" ref="V455:V461" si="361">U455-T455</f>
        <v>0</v>
      </c>
      <c r="W455" s="141" t="str">
        <f>IF(V455="","",IF(SUM(V455-ref!E$38)&gt;0,0,IF(V455=0, "0:00", SUM(V455-ref!E$38))))</f>
        <v>0:00</v>
      </c>
      <c r="X455" s="136"/>
      <c r="Y455" s="92"/>
      <c r="Z455" s="247"/>
      <c r="AA455" s="142">
        <f>Z455-Y455</f>
        <v>0</v>
      </c>
      <c r="AB455" s="244" t="str">
        <f>IF(AA455="","",IF(SUM(AA455-ref!E$38)&gt;0,0,IF(AA455=0, "0:00", SUM(AA455-ref!E$38))))</f>
        <v>0:00</v>
      </c>
      <c r="AC455" s="29"/>
      <c r="AD455" s="106"/>
      <c r="AE455" s="111">
        <f>SUM(AF455:AF461)</f>
        <v>5</v>
      </c>
      <c r="AF455" s="77">
        <f t="shared" ref="AF455:AF461" si="362">IF(AND(H455&lt;&gt;"",J455&lt;&gt;""),1,0+OR(N(J454)&lt;N(H454),F455="récupération",F455="congé 1 jour",F455="congé 1/2 jour ",F455="congé 5h24",F455="arrêt maladie",F455="arrêt travail",F455="férié ",F455="congé parentale",F455="congé de naissance"))</f>
        <v>1</v>
      </c>
      <c r="AG455" s="19"/>
      <c r="AH455" s="176" t="s">
        <v>71</v>
      </c>
      <c r="AI455" s="54" t="s">
        <v>68</v>
      </c>
      <c r="AJ455" s="177" t="s">
        <v>72</v>
      </c>
      <c r="AK455" s="55" cm="1">
        <f t="array" ref="AK455">IF(ISNUMBER(G456),G456-_xlfn.AGGREGATE(14,6,(K$4:K455&lt;G456)*K$4:K455,1),"")</f>
        <v>3.6666666666642413</v>
      </c>
      <c r="AL455" s="20">
        <f>IF(ISNUMBER(AK455),ABS(IF(SUM(AK455-ref!E$9)&gt;0,0,SUM(AK455-ref!E$9))),"")</f>
        <v>0</v>
      </c>
      <c r="AQ455"/>
    </row>
    <row r="456" spans="2:43" x14ac:dyDescent="0.25">
      <c r="B456" s="79" t="s">
        <v>1</v>
      </c>
      <c r="C456" s="88" t="s">
        <v>20</v>
      </c>
      <c r="D456" s="88"/>
      <c r="E456" s="154">
        <f t="shared" ref="E456:E461" si="363">E455+1</f>
        <v>44146</v>
      </c>
      <c r="F456" s="163" t="s">
        <v>20</v>
      </c>
      <c r="G456" s="155">
        <f t="shared" si="359"/>
        <v>44146.375</v>
      </c>
      <c r="H456" s="29">
        <v>0.375</v>
      </c>
      <c r="I456" s="23">
        <f t="shared" ref="I456:I461" si="364">SUM(V456+AA456+AC456)</f>
        <v>4.166666666666663E-2</v>
      </c>
      <c r="J456" s="29">
        <v>0.70833333333333337</v>
      </c>
      <c r="K456" s="46">
        <f t="shared" si="360"/>
        <v>44146.708333333336</v>
      </c>
      <c r="L456" s="21">
        <f>IF(OR(F456="télétravail",F456="férié travaillé",F456="travail"),(J456-H456+IF(H456&gt;J456,1)-I456),INDEX(ref!$E$22:'ref'!$E$37,MATCH(F456,gerald3,0)))</f>
        <v>0.29166666666666674</v>
      </c>
      <c r="M456" s="13">
        <f>IF(SUM(L456-ref!E$8)&lt;0,0,SUM(L456-ref!E$8))</f>
        <v>0</v>
      </c>
      <c r="N456" s="252">
        <f>L456-(hs!D455+hs!F455+hs!H455+hs!J455)</f>
        <v>-4.166666666666663E-2</v>
      </c>
      <c r="O456" s="8">
        <f>IF(OR(F456="férié travaillé",F456="travail",F456="asa",F456="rtt"),J456-H456+IF(H456&gt;J456,1),INDEX(ref!$E$22:'ref'!$E$37,MATCH(F456,gerald2,0)))</f>
        <v>0.33333333333333337</v>
      </c>
      <c r="P456" s="14">
        <f>IF(SUM(O456-ref!E$4)&lt;0,0,SUM(O456-ref!E$4))</f>
        <v>0</v>
      </c>
      <c r="Q456" s="98">
        <f t="shared" ref="Q456:Q461" si="365">Q455+L456</f>
        <v>0.58333333333333348</v>
      </c>
      <c r="S456" s="137"/>
      <c r="T456" s="92">
        <v>0.52083333333333337</v>
      </c>
      <c r="U456" s="129">
        <v>0.5625</v>
      </c>
      <c r="V456" s="142">
        <f t="shared" si="361"/>
        <v>4.166666666666663E-2</v>
      </c>
      <c r="W456" s="141">
        <f>IF(V456="","",IF(SUM(V456-ref!E$38)&gt;0,0,IF(V456=0, "0:00", SUM(V456-ref!E$38))))</f>
        <v>0</v>
      </c>
      <c r="X456" s="137"/>
      <c r="Y456" s="92"/>
      <c r="Z456" s="247"/>
      <c r="AA456" s="142">
        <f t="shared" ref="AA456:AA461" si="366">Z456-Y456</f>
        <v>0</v>
      </c>
      <c r="AB456" s="245" t="str">
        <f>IF(AA456="","",IF(SUM(AA456-ref!E$38)&gt;0,0,IF(AA456=0, "0:00", SUM(AA456-ref!E$38))))</f>
        <v>0:00</v>
      </c>
      <c r="AC456" s="29"/>
      <c r="AD456" s="106"/>
      <c r="AE456" s="112">
        <f>IF(SUM(AE455-ref!E$7)&lt;0,0,SUM(AE455-ref!E$7))</f>
        <v>0</v>
      </c>
      <c r="AF456" s="77">
        <f t="shared" si="362"/>
        <v>1</v>
      </c>
      <c r="AG456" s="19"/>
      <c r="AH456" s="178" t="s">
        <v>72</v>
      </c>
      <c r="AI456" s="54" t="s">
        <v>68</v>
      </c>
      <c r="AJ456" s="177" t="s">
        <v>73</v>
      </c>
      <c r="AK456" s="55" cm="1">
        <f t="array" ref="AK456">IF(ISNUMBER(G457),G457-_xlfn.AGGREGATE(14,6,(K$4:K456&lt;G457)*K$4:K456,1),"")</f>
        <v>0.66666666666424135</v>
      </c>
      <c r="AL456" s="20">
        <f>IF(ISNUMBER(AK456),ABS(IF(SUM(AK456-ref!E$9)&gt;0,0,SUM(AK456-ref!E$9))),"")</f>
        <v>0</v>
      </c>
      <c r="AQ456"/>
    </row>
    <row r="457" spans="2:43" x14ac:dyDescent="0.25">
      <c r="B457" s="80">
        <v>11</v>
      </c>
      <c r="C457" s="88" t="s">
        <v>20</v>
      </c>
      <c r="D457" s="88"/>
      <c r="E457" s="154">
        <f t="shared" si="363"/>
        <v>44147</v>
      </c>
      <c r="F457" s="164" t="s">
        <v>20</v>
      </c>
      <c r="G457" s="155">
        <f t="shared" si="359"/>
        <v>44147.375</v>
      </c>
      <c r="H457" s="29">
        <v>0.375</v>
      </c>
      <c r="I457" s="23">
        <f t="shared" si="364"/>
        <v>4.166666666666663E-2</v>
      </c>
      <c r="J457" s="29">
        <v>0.70833333333333337</v>
      </c>
      <c r="K457" s="46">
        <f t="shared" si="360"/>
        <v>44147.708333333336</v>
      </c>
      <c r="L457" s="21">
        <f>IF(OR(F457="télétravail",F457="férié travaillé",F457="travail"),(J457-H457+IF(H457&gt;J457,1)-I457),INDEX(ref!$E$22:'ref'!$E$37,MATCH(F457,gerald3,0)))</f>
        <v>0.29166666666666674</v>
      </c>
      <c r="M457" s="13">
        <f>IF(SUM(L457-ref!E$8)&lt;0,0,SUM(L457-ref!E$8))</f>
        <v>0</v>
      </c>
      <c r="N457" s="252">
        <f>L457-(hs!D456+hs!F456+hs!H456+hs!J456)</f>
        <v>-4.166666666666663E-2</v>
      </c>
      <c r="O457" s="8">
        <f>IF(OR(F457="férié travaillé",F457="travail",F457="asa",F457="rtt"),J457-H457+IF(H457&gt;J457,1),INDEX(ref!$E$22:'ref'!$E$37,MATCH(F457,gerald2,0)))</f>
        <v>0.33333333333333337</v>
      </c>
      <c r="P457" s="14">
        <f>IF(SUM(O457-ref!E$4)&lt;0,0,SUM(O457-ref!E$4))</f>
        <v>0</v>
      </c>
      <c r="Q457" s="98">
        <f t="shared" si="365"/>
        <v>0.87500000000000022</v>
      </c>
      <c r="S457" s="137"/>
      <c r="T457" s="92">
        <v>0.52083333333333337</v>
      </c>
      <c r="U457" s="129">
        <v>0.5625</v>
      </c>
      <c r="V457" s="142">
        <f t="shared" si="361"/>
        <v>4.166666666666663E-2</v>
      </c>
      <c r="W457" s="141">
        <f>IF(V457="","",IF(SUM(V457-ref!E$38)&gt;0,0,IF(V457=0, "0:00", SUM(V457-ref!E$38))))</f>
        <v>0</v>
      </c>
      <c r="X457" s="137"/>
      <c r="Y457" s="92"/>
      <c r="Z457" s="247"/>
      <c r="AA457" s="142">
        <f t="shared" si="366"/>
        <v>0</v>
      </c>
      <c r="AB457" s="245" t="str">
        <f>IF(AA457="","",IF(SUM(AA457-ref!E$38)&gt;0,0,IF(AA457=0, "0:00", SUM(AA457-ref!E$38))))</f>
        <v>0:00</v>
      </c>
      <c r="AC457" s="29"/>
      <c r="AD457" s="106"/>
      <c r="AE457" s="113" t="s">
        <v>29</v>
      </c>
      <c r="AF457" s="77">
        <f t="shared" si="362"/>
        <v>1</v>
      </c>
      <c r="AG457" s="19"/>
      <c r="AH457" s="178" t="s">
        <v>73</v>
      </c>
      <c r="AI457" s="54" t="s">
        <v>68</v>
      </c>
      <c r="AJ457" s="177" t="s">
        <v>74</v>
      </c>
      <c r="AK457" s="55" cm="1">
        <f t="array" ref="AK457">IF(ISNUMBER(G458),G458-_xlfn.AGGREGATE(14,6,(K$4:K457&lt;G458)*K$4:K457,1),"")</f>
        <v>0.66666666666424135</v>
      </c>
      <c r="AL457" s="20">
        <f>IF(ISNUMBER(AK457),ABS(IF(SUM(AK457-ref!E$9)&gt;0,0,SUM(AK457-ref!E$9))),"")</f>
        <v>0</v>
      </c>
      <c r="AQ457"/>
    </row>
    <row r="458" spans="2:43" x14ac:dyDescent="0.25">
      <c r="B458" s="79" t="s">
        <v>58</v>
      </c>
      <c r="C458" s="88" t="s">
        <v>20</v>
      </c>
      <c r="D458" s="88"/>
      <c r="E458" s="154">
        <f t="shared" si="363"/>
        <v>44148</v>
      </c>
      <c r="F458" s="164" t="s">
        <v>20</v>
      </c>
      <c r="G458" s="155">
        <f t="shared" si="359"/>
        <v>44148.375</v>
      </c>
      <c r="H458" s="29">
        <v>0.375</v>
      </c>
      <c r="I458" s="23">
        <f t="shared" si="364"/>
        <v>4.166666666666663E-2</v>
      </c>
      <c r="J458" s="29">
        <v>0.70833333333333337</v>
      </c>
      <c r="K458" s="46">
        <f t="shared" si="360"/>
        <v>44148.708333333336</v>
      </c>
      <c r="L458" s="21">
        <f>IF(OR(F458="télétravail",F458="férié travaillé",F458="travail"),(J458-H458+IF(H458&gt;J458,1)-I458),INDEX(ref!$E$22:'ref'!$E$37,MATCH(F458,gerald3,0)))</f>
        <v>0.29166666666666674</v>
      </c>
      <c r="M458" s="13">
        <f>IF(SUM(L458-ref!E$8)&lt;0,0,SUM(L458-ref!E$8))</f>
        <v>0</v>
      </c>
      <c r="N458" s="252">
        <f>L458-(hs!D457+hs!F457+hs!H457+hs!J457)</f>
        <v>-4.166666666666663E-2</v>
      </c>
      <c r="O458" s="8">
        <f>IF(OR(F458="férié travaillé",F458="travail",F458="asa",F458="rtt"),J458-H458+IF(H458&gt;J458,1),INDEX(ref!$E$22:'ref'!$E$37,MATCH(F458,gerald2,0)))</f>
        <v>0.33333333333333337</v>
      </c>
      <c r="P458" s="14">
        <f>IF(SUM(O458-ref!E$4)&lt;0,0,SUM(O458-ref!E$4))</f>
        <v>0</v>
      </c>
      <c r="Q458" s="97">
        <f t="shared" si="365"/>
        <v>1.166666666666667</v>
      </c>
      <c r="S458" s="137"/>
      <c r="T458" s="92">
        <v>0.52083333333333337</v>
      </c>
      <c r="U458" s="129">
        <v>0.5625</v>
      </c>
      <c r="V458" s="142">
        <f t="shared" si="361"/>
        <v>4.166666666666663E-2</v>
      </c>
      <c r="W458" s="141">
        <f>IF(V458="","",IF(SUM(V458-ref!E$38)&gt;0,0,IF(V458=0, "0:00", SUM(V458-ref!E$38))))</f>
        <v>0</v>
      </c>
      <c r="X458" s="137"/>
      <c r="Y458" s="92"/>
      <c r="Z458" s="247"/>
      <c r="AA458" s="142">
        <f t="shared" si="366"/>
        <v>0</v>
      </c>
      <c r="AB458" s="245" t="str">
        <f>IF(AA458="","",IF(SUM(AA458-ref!E$38)&gt;0,0,IF(AA458=0, "0:00", SUM(AA458-ref!E$38))))</f>
        <v>0:00</v>
      </c>
      <c r="AC458" s="29"/>
      <c r="AD458" s="106"/>
      <c r="AE458" s="114">
        <f>Q461</f>
        <v>1.4583333333333337</v>
      </c>
      <c r="AF458" s="77">
        <f t="shared" si="362"/>
        <v>1</v>
      </c>
      <c r="AG458" s="19"/>
      <c r="AH458" s="178" t="s">
        <v>74</v>
      </c>
      <c r="AI458" s="54" t="s">
        <v>68</v>
      </c>
      <c r="AJ458" s="177" t="s">
        <v>75</v>
      </c>
      <c r="AK458" s="55" cm="1">
        <f t="array" ref="AK458">IF(ISNUMBER(G459),G459-_xlfn.AGGREGATE(14,6,(K$4:K458&lt;G459)*K$4:K458,1),"")</f>
        <v>0.66666666666424135</v>
      </c>
      <c r="AL458" s="20">
        <f>IF(ISNUMBER(AK458),ABS(IF(SUM(AK458-ref!E$9)&gt;0,0,SUM(AK458-ref!E$9))),"")</f>
        <v>0</v>
      </c>
      <c r="AQ458"/>
    </row>
    <row r="459" spans="2:43" x14ac:dyDescent="0.25">
      <c r="B459" s="81">
        <v>11</v>
      </c>
      <c r="C459" s="88" t="s">
        <v>20</v>
      </c>
      <c r="D459" s="88"/>
      <c r="E459" s="154">
        <f t="shared" si="363"/>
        <v>44149</v>
      </c>
      <c r="F459" s="164" t="s">
        <v>20</v>
      </c>
      <c r="G459" s="155">
        <f t="shared" si="359"/>
        <v>44149.375</v>
      </c>
      <c r="H459" s="29">
        <v>0.375</v>
      </c>
      <c r="I459" s="23">
        <f t="shared" si="364"/>
        <v>4.166666666666663E-2</v>
      </c>
      <c r="J459" s="29">
        <v>0.70833333333333337</v>
      </c>
      <c r="K459" s="46">
        <f t="shared" si="360"/>
        <v>44149.708333333336</v>
      </c>
      <c r="L459" s="21">
        <f>IF(OR(F459="télétravail",F459="férié travaillé",F459="travail"),(J459-H459+IF(H459&gt;J459,1)-I459),INDEX(ref!$E$22:'ref'!$E$37,MATCH(F459,gerald3,0)))</f>
        <v>0.29166666666666674</v>
      </c>
      <c r="M459" s="13">
        <f>IF(SUM(L459-ref!E$8)&lt;0,0,SUM(L459-ref!E$8))</f>
        <v>0</v>
      </c>
      <c r="N459" s="252">
        <f>L459-(hs!D458+hs!F458+hs!H458+hs!J458)</f>
        <v>-4.166666666666663E-2</v>
      </c>
      <c r="O459" s="8">
        <f>IF(OR(F459="férié travaillé",F459="travail",F459="asa",F459="rtt"),J459-H459+IF(H459&gt;J459,1),INDEX(ref!$E$22:'ref'!$E$37,MATCH(F459,gerald2,0)))</f>
        <v>0.33333333333333337</v>
      </c>
      <c r="P459" s="14">
        <f>IF(SUM(O459-ref!E$4)&lt;0,0,SUM(O459-ref!E$4))</f>
        <v>0</v>
      </c>
      <c r="Q459" s="24">
        <f t="shared" si="365"/>
        <v>1.4583333333333337</v>
      </c>
      <c r="S459" s="137"/>
      <c r="T459" s="92">
        <v>0.52083333333333337</v>
      </c>
      <c r="U459" s="129">
        <v>0.5625</v>
      </c>
      <c r="V459" s="142">
        <f t="shared" si="361"/>
        <v>4.166666666666663E-2</v>
      </c>
      <c r="W459" s="141">
        <f>IF(V459="","",IF(SUM(V459-ref!E$38)&gt;0,0,IF(V459=0, "0:00", SUM(V459-ref!E$38))))</f>
        <v>0</v>
      </c>
      <c r="X459" s="137"/>
      <c r="Y459" s="92"/>
      <c r="Z459" s="247"/>
      <c r="AA459" s="142">
        <f t="shared" si="366"/>
        <v>0</v>
      </c>
      <c r="AB459" s="245" t="str">
        <f>IF(AA459="","",IF(SUM(AA459-ref!E$38)&gt;0,0,IF(AA459=0, "0:00", SUM(AA459-ref!E$38))))</f>
        <v>0:00</v>
      </c>
      <c r="AC459" s="29"/>
      <c r="AD459" s="106"/>
      <c r="AE459" s="117" t="s">
        <v>47</v>
      </c>
      <c r="AF459" s="77">
        <f t="shared" si="362"/>
        <v>1</v>
      </c>
      <c r="AG459" s="19"/>
      <c r="AH459" s="178" t="s">
        <v>75</v>
      </c>
      <c r="AI459" s="54" t="s">
        <v>68</v>
      </c>
      <c r="AJ459" s="177" t="s">
        <v>76</v>
      </c>
      <c r="AK459" s="55" t="str" cm="1">
        <f t="array" ref="AK459">IF(ISNUMBER(G460),G460-_xlfn.AGGREGATE(14,6,(K$4:K459&lt;G460)*K$4:K459,1),"")</f>
        <v/>
      </c>
      <c r="AL459" s="20" t="str">
        <f>IF(ISNUMBER(AK459),ABS(IF(SUM(AK459-ref!E$9)&gt;0,0,SUM(AK459-ref!E$9))),"")</f>
        <v/>
      </c>
      <c r="AQ459"/>
    </row>
    <row r="460" spans="2:43" ht="15.75" thickBot="1" x14ac:dyDescent="0.3">
      <c r="B460"/>
      <c r="C460" s="89"/>
      <c r="D460" s="89"/>
      <c r="E460" s="154">
        <f t="shared" si="363"/>
        <v>44150</v>
      </c>
      <c r="F460" s="164" t="s">
        <v>19</v>
      </c>
      <c r="G460" s="155" t="str">
        <f t="shared" si="359"/>
        <v/>
      </c>
      <c r="H460" s="29"/>
      <c r="I460" s="23">
        <f t="shared" si="364"/>
        <v>0</v>
      </c>
      <c r="J460" s="29"/>
      <c r="K460" s="46" t="str">
        <f t="shared" si="360"/>
        <v/>
      </c>
      <c r="L460" s="21">
        <f>IF(OR(F460="télétravail",F460="férié travaillé",F460="travail"),(J460-H460+IF(H460&gt;J460,1)-I460),INDEX(ref!$E$22:'ref'!$E$37,MATCH(F460,gerald3,0)))</f>
        <v>0</v>
      </c>
      <c r="M460" s="13">
        <f>IF(SUM(L460-ref!E$8)&lt;0,0,SUM(L460-ref!E$8))</f>
        <v>0</v>
      </c>
      <c r="N460" s="252">
        <f>L460-(hs!D459+hs!F459+hs!H459+hs!J459)</f>
        <v>0</v>
      </c>
      <c r="O460" s="8">
        <f>IF(OR(F460="férié travaillé",F460="travail",F460="asa",F460="rtt"),J460-H460+IF(H460&gt;J460,1),INDEX(ref!$E$22:'ref'!$E$37,MATCH(F460,gerald2,0)))</f>
        <v>0</v>
      </c>
      <c r="P460" s="14">
        <f>IF(SUM(O460-ref!E$4)&lt;0,0,SUM(O460-ref!E$4))</f>
        <v>0</v>
      </c>
      <c r="Q460" s="97">
        <f t="shared" si="365"/>
        <v>1.4583333333333337</v>
      </c>
      <c r="S460" s="137"/>
      <c r="T460" s="92"/>
      <c r="U460" s="129"/>
      <c r="V460" s="142">
        <f t="shared" si="361"/>
        <v>0</v>
      </c>
      <c r="W460" s="141" t="str">
        <f>IF(V460="","",IF(SUM(V460-ref!E$38)&gt;0,0,IF(V460=0, "0:00", SUM(V460-ref!E$38))))</f>
        <v>0:00</v>
      </c>
      <c r="X460" s="137"/>
      <c r="Y460" s="92"/>
      <c r="Z460" s="247"/>
      <c r="AA460" s="142">
        <f t="shared" si="366"/>
        <v>0</v>
      </c>
      <c r="AB460" s="245" t="str">
        <f>IF(AA460="","",IF(SUM(AA460-ref!E$38)&gt;0,0,IF(AA460=0, "0:00", SUM(AA460-ref!E$38))))</f>
        <v>0:00</v>
      </c>
      <c r="AC460" s="29"/>
      <c r="AD460" s="106"/>
      <c r="AE460" s="118">
        <f>ref!E$11</f>
        <v>2</v>
      </c>
      <c r="AF460" s="77">
        <f t="shared" si="362"/>
        <v>0</v>
      </c>
      <c r="AG460" s="19"/>
      <c r="AH460" s="178" t="s">
        <v>76</v>
      </c>
      <c r="AI460" s="54" t="s">
        <v>68</v>
      </c>
      <c r="AJ460" s="177" t="s">
        <v>77</v>
      </c>
      <c r="AK460" s="55" t="str" cm="1">
        <f t="array" ref="AK460">IF(ISNUMBER(G461),G461-_xlfn.AGGREGATE(14,6,(K$4:K460&lt;G461)*K$4:K460,1),"")</f>
        <v/>
      </c>
      <c r="AL460" s="20" t="str">
        <f>IF(ISNUMBER(AK460),ABS(IF(SUM(AK460-ref!E$9)&gt;0,0,SUM(AK460-ref!E$9))),"")</f>
        <v/>
      </c>
      <c r="AQ460"/>
    </row>
    <row r="461" spans="2:43" ht="15.75" thickBot="1" x14ac:dyDescent="0.3">
      <c r="B461"/>
      <c r="C461" s="89"/>
      <c r="D461" s="89"/>
      <c r="E461" s="154">
        <f t="shared" si="363"/>
        <v>44151</v>
      </c>
      <c r="F461" s="165" t="s">
        <v>19</v>
      </c>
      <c r="G461" s="155" t="str">
        <f t="shared" si="359"/>
        <v/>
      </c>
      <c r="H461" s="29"/>
      <c r="I461" s="23">
        <f t="shared" si="364"/>
        <v>0</v>
      </c>
      <c r="J461" s="29"/>
      <c r="K461" s="46" t="str">
        <f t="shared" si="360"/>
        <v/>
      </c>
      <c r="L461" s="21">
        <f>IF(OR(F461="télétravail",F461="férié travaillé",F461="travail"),(J461-H461+IF(H461&gt;J461,1)-I461),INDEX(ref!$E$22:'ref'!$E$37,MATCH(F461,gerald3,0)))</f>
        <v>0</v>
      </c>
      <c r="M461" s="13">
        <f>IF(SUM(L461-ref!E$8)&lt;0,0,SUM(L461-ref!E$8))</f>
        <v>0</v>
      </c>
      <c r="N461" s="252">
        <f>L461-(hs!D460+hs!F460+hs!H460+hs!J460)</f>
        <v>0</v>
      </c>
      <c r="O461" s="8">
        <f>IF(OR(F461="férié travaillé",F461="travail",F461="asa",F461="rtt"),J461-H461+IF(H461&gt;J461,1),INDEX(ref!$E$22:'ref'!$E$37,MATCH(F461,gerald2,0)))</f>
        <v>0</v>
      </c>
      <c r="P461" s="14">
        <f>IF(SUM(O461-ref!E$4)&lt;0,0,SUM(O461-ref!E$4))</f>
        <v>0</v>
      </c>
      <c r="Q461" s="94">
        <f t="shared" si="365"/>
        <v>1.4583333333333337</v>
      </c>
      <c r="S461" s="138"/>
      <c r="T461" s="92"/>
      <c r="U461" s="129"/>
      <c r="V461" s="142">
        <f t="shared" si="361"/>
        <v>0</v>
      </c>
      <c r="W461" s="141" t="str">
        <f>IF(V461="","",IF(SUM(V461-ref!E$38)&gt;0,0,IF(V461=0, "0:00", SUM(V461-ref!E$38))))</f>
        <v>0:00</v>
      </c>
      <c r="X461" s="138"/>
      <c r="Y461" s="92"/>
      <c r="Z461" s="247"/>
      <c r="AA461" s="142">
        <f t="shared" si="366"/>
        <v>0</v>
      </c>
      <c r="AB461" s="246" t="str">
        <f>IF(AA461="","",IF(SUM(AA461-ref!E$38)&gt;0,0,IF(AA461=0, "0:00", SUM(AA461-ref!E$38))))</f>
        <v>0:00</v>
      </c>
      <c r="AC461" s="29"/>
      <c r="AD461" s="106"/>
      <c r="AE461" s="110">
        <f>IF(SUM(Q461-ref!E$11)&lt;0,0,SUM(Q461-ref!E$11))</f>
        <v>0</v>
      </c>
      <c r="AF461" s="77">
        <f t="shared" si="362"/>
        <v>0</v>
      </c>
      <c r="AG461" s="19"/>
      <c r="AQ461"/>
    </row>
    <row r="462" spans="2:43" x14ac:dyDescent="0.25">
      <c r="C462" s="89"/>
      <c r="D462" s="89"/>
      <c r="W462" s="74"/>
      <c r="X462" s="2"/>
      <c r="Z462"/>
      <c r="AA462" s="2"/>
      <c r="AB462" s="2"/>
      <c r="AC462" s="127"/>
      <c r="AQ462"/>
    </row>
    <row r="463" spans="2:43" x14ac:dyDescent="0.25">
      <c r="C463" s="89"/>
      <c r="D463" s="89"/>
      <c r="X463" s="2"/>
      <c r="Z463"/>
      <c r="AA463" s="2"/>
      <c r="AB463" s="2"/>
      <c r="AC463" s="127"/>
      <c r="AQ463"/>
    </row>
    <row r="464" spans="2:43" ht="15.75" thickBot="1" x14ac:dyDescent="0.3">
      <c r="C464" s="89"/>
      <c r="D464" s="89"/>
      <c r="W464" s="74"/>
      <c r="X464" s="2"/>
      <c r="Z464"/>
      <c r="AA464" s="2"/>
      <c r="AB464" s="2"/>
      <c r="AC464" s="127"/>
      <c r="AJ464" s="2"/>
    </row>
    <row r="465" spans="2:43" x14ac:dyDescent="0.25">
      <c r="B465" s="78" t="s">
        <v>1</v>
      </c>
      <c r="C465" s="88" t="s">
        <v>20</v>
      </c>
      <c r="D465" s="88"/>
      <c r="E465" s="154">
        <f>DATE(ref!E$2,B469,B467)</f>
        <v>44152</v>
      </c>
      <c r="F465" s="163" t="s">
        <v>20</v>
      </c>
      <c r="G465" s="155">
        <f t="shared" ref="G465:G471" si="367">IF(AND(J465="",H465=""),"",E465+H465)</f>
        <v>44152.375</v>
      </c>
      <c r="H465" s="29">
        <v>0.375</v>
      </c>
      <c r="I465" s="23">
        <f>SUM(V465+AA465+AC465)</f>
        <v>4.166666666666663E-2</v>
      </c>
      <c r="J465" s="29">
        <v>0.70833333333333337</v>
      </c>
      <c r="K465" s="46">
        <f t="shared" ref="K465:K471" si="368">IF(AND(H465="",J465=""),"",E465+J465+(H465&gt;J465))</f>
        <v>44152.708333333336</v>
      </c>
      <c r="L465" s="21">
        <f>IF(OR(F465="télétravail",F465="férié travaillé",F465="travail"),(J465-H465+IF(H465&gt;J465,1)-I465),INDEX(ref!$E$22:'ref'!$E$37,MATCH(F465,gerald3,0)))</f>
        <v>0.29166666666666674</v>
      </c>
      <c r="M465" s="13">
        <f>IF(SUM(L465-ref!E$8)&lt;0,0,SUM(L465-ref!E$8))</f>
        <v>0</v>
      </c>
      <c r="N465" s="252">
        <f>L465-(hs!D464+hs!F464+hs!H464+hs!J464)</f>
        <v>-4.166666666666663E-2</v>
      </c>
      <c r="O465" s="8">
        <f>IF(OR(F465="férié travaillé",F465="travail",F465="asa",F465="rtt"),J465-H465+IF(H465&gt;J465,1),INDEX(ref!$E$22:'ref'!$E$37,MATCH(F465,gerald2,0)))</f>
        <v>0.33333333333333337</v>
      </c>
      <c r="P465" s="14">
        <f>IF(SUM(O465-ref!E$4)&lt;0,0,SUM(O465-ref!E$4))</f>
        <v>0</v>
      </c>
      <c r="Q465" s="166">
        <f>L465</f>
        <v>0.29166666666666674</v>
      </c>
      <c r="S465" s="136"/>
      <c r="T465" s="92">
        <v>0.52083333333333337</v>
      </c>
      <c r="U465" s="129">
        <v>0.5625</v>
      </c>
      <c r="V465" s="25">
        <f t="shared" ref="V465:V471" si="369">U465-T465</f>
        <v>4.166666666666663E-2</v>
      </c>
      <c r="W465" s="139">
        <f>IF(V465="","",IF(SUM(V465-ref!E$38)&gt;0,0,IF(V465=0, "0:00", SUM(V465-ref!E$38))))</f>
        <v>0</v>
      </c>
      <c r="X465" s="136"/>
      <c r="Y465" s="92"/>
      <c r="Z465" s="247"/>
      <c r="AA465" s="142">
        <f>Z465-Y465</f>
        <v>0</v>
      </c>
      <c r="AB465" s="244" t="str">
        <f>IF(AA465="","",IF(SUM(AA465-ref!E$38)&gt;0,0,IF(AA465=0, "0:00", SUM(AA465-ref!E$38))))</f>
        <v>0:00</v>
      </c>
      <c r="AC465" s="29"/>
      <c r="AD465" s="106"/>
      <c r="AE465" s="111">
        <f>SUM(AF465:AF471)</f>
        <v>5</v>
      </c>
      <c r="AF465" s="77">
        <f t="shared" ref="AF465:AF471" si="370">IF(AND(H465&lt;&gt;"",J465&lt;&gt;""),1,0+OR(N(J464)&lt;N(H464),F465="récupération",F465="congé 1 jour",F465="congé 1/2 jour ",F465="congé 5h24",F465="arrêt maladie",F465="arrêt travail",F465="férié ",F465="congé parentale",F465="congé de naissance"))</f>
        <v>1</v>
      </c>
      <c r="AG465" s="19"/>
      <c r="AH465" s="176" t="s">
        <v>71</v>
      </c>
      <c r="AI465" s="54" t="s">
        <v>68</v>
      </c>
      <c r="AJ465" s="177" t="s">
        <v>72</v>
      </c>
      <c r="AK465" s="55" cm="1">
        <f t="array" ref="AK465">IF(ISNUMBER(G466),G466-_xlfn.AGGREGATE(14,6,(K$4:K465&lt;G466)*K$4:K465,1),"")</f>
        <v>0.66666666666424135</v>
      </c>
      <c r="AL465" s="20">
        <f>IF(ISNUMBER(AK465),ABS(IF(SUM(AK465-ref!E$9)&gt;0,0,SUM(AK465-ref!E$9))),"")</f>
        <v>0</v>
      </c>
      <c r="AQ465"/>
    </row>
    <row r="466" spans="2:43" x14ac:dyDescent="0.25">
      <c r="B466" s="79" t="s">
        <v>1</v>
      </c>
      <c r="C466" s="88" t="s">
        <v>20</v>
      </c>
      <c r="D466" s="88"/>
      <c r="E466" s="154">
        <f t="shared" ref="E466:E471" si="371">E465+1</f>
        <v>44153</v>
      </c>
      <c r="F466" s="164" t="s">
        <v>20</v>
      </c>
      <c r="G466" s="155">
        <f t="shared" si="367"/>
        <v>44153.375</v>
      </c>
      <c r="H466" s="29">
        <v>0.375</v>
      </c>
      <c r="I466" s="23">
        <f t="shared" ref="I466:I471" si="372">SUM(V466+AA466+AC466)</f>
        <v>4.166666666666663E-2</v>
      </c>
      <c r="J466" s="29">
        <v>0.70833333333333337</v>
      </c>
      <c r="K466" s="46">
        <f t="shared" si="368"/>
        <v>44153.708333333336</v>
      </c>
      <c r="L466" s="21">
        <f>IF(OR(F466="télétravail",F466="férié travaillé",F466="travail"),(J466-H466+IF(H466&gt;J466,1)-I466),INDEX(ref!$E$22:'ref'!$E$37,MATCH(F466,gerald3,0)))</f>
        <v>0.29166666666666674</v>
      </c>
      <c r="M466" s="13">
        <f>IF(SUM(L466-ref!E$8)&lt;0,0,SUM(L466-ref!E$8))</f>
        <v>0</v>
      </c>
      <c r="N466" s="252">
        <f>L466-(hs!D465+hs!F465+hs!H465+hs!J465)</f>
        <v>-4.166666666666663E-2</v>
      </c>
      <c r="O466" s="8">
        <f>IF(OR(F466="férié travaillé",F466="travail",F466="asa",F466="rtt"),J466-H466+IF(H466&gt;J466,1),INDEX(ref!$E$22:'ref'!$E$37,MATCH(F466,gerald2,0)))</f>
        <v>0.33333333333333337</v>
      </c>
      <c r="P466" s="14">
        <f>IF(SUM(O466-ref!E$4)&lt;0,0,SUM(O466-ref!E$4))</f>
        <v>0</v>
      </c>
      <c r="Q466" s="98">
        <f t="shared" ref="Q466:Q471" si="373">Q465+L466</f>
        <v>0.58333333333333348</v>
      </c>
      <c r="S466" s="137"/>
      <c r="T466" s="92">
        <v>0.52083333333333337</v>
      </c>
      <c r="U466" s="129">
        <v>0.5625</v>
      </c>
      <c r="V466" s="25">
        <f t="shared" si="369"/>
        <v>4.166666666666663E-2</v>
      </c>
      <c r="W466" s="139">
        <f>IF(V466="","",IF(SUM(V466-ref!E$38)&gt;0,0,IF(V466=0, "0:00", SUM(V466-ref!E$38))))</f>
        <v>0</v>
      </c>
      <c r="X466" s="137"/>
      <c r="Y466" s="92"/>
      <c r="Z466" s="247"/>
      <c r="AA466" s="142">
        <f t="shared" ref="AA466:AA471" si="374">Z466-Y466</f>
        <v>0</v>
      </c>
      <c r="AB466" s="245" t="str">
        <f>IF(AA466="","",IF(SUM(AA466-ref!E$38)&gt;0,0,IF(AA466=0, "0:00", SUM(AA466-ref!E$38))))</f>
        <v>0:00</v>
      </c>
      <c r="AC466" s="29"/>
      <c r="AD466" s="106"/>
      <c r="AE466" s="112">
        <f>IF(SUM(AE465-ref!E$7)&lt;0,0,SUM(AE465-ref!E$7))</f>
        <v>0</v>
      </c>
      <c r="AF466" s="77">
        <f t="shared" si="370"/>
        <v>1</v>
      </c>
      <c r="AG466" s="19"/>
      <c r="AH466" s="178" t="s">
        <v>72</v>
      </c>
      <c r="AI466" s="54" t="s">
        <v>68</v>
      </c>
      <c r="AJ466" s="177" t="s">
        <v>73</v>
      </c>
      <c r="AK466" s="55" cm="1">
        <f t="array" ref="AK466">IF(ISNUMBER(G467),G467-_xlfn.AGGREGATE(14,6,(K$4:K466&lt;G467)*K$4:K466,1),"")</f>
        <v>0.66666666666424135</v>
      </c>
      <c r="AL466" s="20">
        <f>IF(ISNUMBER(AK466),ABS(IF(SUM(AK466-ref!E$9)&gt;0,0,SUM(AK466-ref!E$9))),"")</f>
        <v>0</v>
      </c>
      <c r="AQ466"/>
    </row>
    <row r="467" spans="2:43" x14ac:dyDescent="0.25">
      <c r="B467" s="80">
        <v>18</v>
      </c>
      <c r="C467" s="88" t="s">
        <v>20</v>
      </c>
      <c r="D467" s="88"/>
      <c r="E467" s="154">
        <f t="shared" si="371"/>
        <v>44154</v>
      </c>
      <c r="F467" s="164" t="s">
        <v>20</v>
      </c>
      <c r="G467" s="155">
        <f t="shared" si="367"/>
        <v>44154.375</v>
      </c>
      <c r="H467" s="29">
        <v>0.375</v>
      </c>
      <c r="I467" s="23">
        <f t="shared" si="372"/>
        <v>4.166666666666663E-2</v>
      </c>
      <c r="J467" s="29">
        <v>0.70833333333333337</v>
      </c>
      <c r="K467" s="46">
        <f t="shared" si="368"/>
        <v>44154.708333333336</v>
      </c>
      <c r="L467" s="21">
        <f>IF(OR(F467="télétravail",F467="férié travaillé",F467="travail"),(J467-H467+IF(H467&gt;J467,1)-I467),INDEX(ref!$E$22:'ref'!$E$37,MATCH(F467,gerald3,0)))</f>
        <v>0.29166666666666674</v>
      </c>
      <c r="M467" s="13">
        <f>IF(SUM(L467-ref!E$8)&lt;0,0,SUM(L467-ref!E$8))</f>
        <v>0</v>
      </c>
      <c r="N467" s="252">
        <f>L467-(hs!D466+hs!F466+hs!H466+hs!J466)</f>
        <v>-4.166666666666663E-2</v>
      </c>
      <c r="O467" s="8">
        <f>IF(OR(F467="férié travaillé",F467="travail",F467="asa",F467="rtt"),J467-H467+IF(H467&gt;J467,1),INDEX(ref!$E$22:'ref'!$E$37,MATCH(F467,gerald2,0)))</f>
        <v>0.33333333333333337</v>
      </c>
      <c r="P467" s="14">
        <f>IF(SUM(O467-ref!E$4)&lt;0,0,SUM(O467-ref!E$4))</f>
        <v>0</v>
      </c>
      <c r="Q467" s="98">
        <f t="shared" si="373"/>
        <v>0.87500000000000022</v>
      </c>
      <c r="S467" s="137"/>
      <c r="T467" s="92">
        <v>0.52083333333333337</v>
      </c>
      <c r="U467" s="129">
        <v>0.5625</v>
      </c>
      <c r="V467" s="25">
        <f t="shared" si="369"/>
        <v>4.166666666666663E-2</v>
      </c>
      <c r="W467" s="139">
        <f>IF(V467="","",IF(SUM(V467-ref!E$38)&gt;0,0,IF(V467=0, "0:00", SUM(V467-ref!E$38))))</f>
        <v>0</v>
      </c>
      <c r="X467" s="137"/>
      <c r="Y467" s="92"/>
      <c r="Z467" s="247"/>
      <c r="AA467" s="142">
        <f t="shared" si="374"/>
        <v>0</v>
      </c>
      <c r="AB467" s="245" t="str">
        <f>IF(AA467="","",IF(SUM(AA467-ref!E$38)&gt;0,0,IF(AA467=0, "0:00", SUM(AA467-ref!E$38))))</f>
        <v>0:00</v>
      </c>
      <c r="AC467" s="29"/>
      <c r="AD467" s="106"/>
      <c r="AE467" s="113" t="s">
        <v>29</v>
      </c>
      <c r="AF467" s="77">
        <f t="shared" si="370"/>
        <v>1</v>
      </c>
      <c r="AG467" s="19"/>
      <c r="AH467" s="178" t="s">
        <v>73</v>
      </c>
      <c r="AI467" s="54" t="s">
        <v>68</v>
      </c>
      <c r="AJ467" s="177" t="s">
        <v>74</v>
      </c>
      <c r="AK467" s="55" cm="1">
        <f t="array" ref="AK467">IF(ISNUMBER(G468),G468-_xlfn.AGGREGATE(14,6,(K$4:K467&lt;G468)*K$4:K467,1),"")</f>
        <v>0.66666666666424135</v>
      </c>
      <c r="AL467" s="20">
        <f>IF(ISNUMBER(AK467),ABS(IF(SUM(AK467-ref!E$9)&gt;0,0,SUM(AK467-ref!E$9))),"")</f>
        <v>0</v>
      </c>
      <c r="AQ467"/>
    </row>
    <row r="468" spans="2:43" x14ac:dyDescent="0.25">
      <c r="B468" s="79" t="s">
        <v>58</v>
      </c>
      <c r="C468" s="88" t="s">
        <v>20</v>
      </c>
      <c r="D468" s="88"/>
      <c r="E468" s="154">
        <f t="shared" si="371"/>
        <v>44155</v>
      </c>
      <c r="F468" s="164" t="s">
        <v>20</v>
      </c>
      <c r="G468" s="155">
        <f t="shared" si="367"/>
        <v>44155.375</v>
      </c>
      <c r="H468" s="29">
        <v>0.375</v>
      </c>
      <c r="I468" s="23">
        <f t="shared" si="372"/>
        <v>4.166666666666663E-2</v>
      </c>
      <c r="J468" s="29">
        <v>0.70833333333333337</v>
      </c>
      <c r="K468" s="46">
        <f t="shared" si="368"/>
        <v>44155.708333333336</v>
      </c>
      <c r="L468" s="21">
        <f>IF(OR(F468="télétravail",F468="férié travaillé",F468="travail"),(J468-H468+IF(H468&gt;J468,1)-I468),INDEX(ref!$E$22:'ref'!$E$37,MATCH(F468,gerald3,0)))</f>
        <v>0.29166666666666674</v>
      </c>
      <c r="M468" s="13">
        <f>IF(SUM(L468-ref!E$8)&lt;0,0,SUM(L468-ref!E$8))</f>
        <v>0</v>
      </c>
      <c r="N468" s="252">
        <f>L468-(hs!D467+hs!F467+hs!H467+hs!J467)</f>
        <v>-4.166666666666663E-2</v>
      </c>
      <c r="O468" s="8">
        <f>IF(OR(F468="férié travaillé",F468="travail",F468="asa",F468="rtt"),J468-H468+IF(H468&gt;J468,1),INDEX(ref!$E$22:'ref'!$E$37,MATCH(F468,gerald2,0)))</f>
        <v>0.33333333333333337</v>
      </c>
      <c r="P468" s="14">
        <f>IF(SUM(O468-ref!E$4)&lt;0,0,SUM(O468-ref!E$4))</f>
        <v>0</v>
      </c>
      <c r="Q468" s="98">
        <f t="shared" si="373"/>
        <v>1.166666666666667</v>
      </c>
      <c r="S468" s="137"/>
      <c r="T468" s="92">
        <v>0.52083333333333337</v>
      </c>
      <c r="U468" s="129">
        <v>0.5625</v>
      </c>
      <c r="V468" s="25">
        <f t="shared" si="369"/>
        <v>4.166666666666663E-2</v>
      </c>
      <c r="W468" s="139">
        <f>IF(V468="","",IF(SUM(V468-ref!E$38)&gt;0,0,IF(V468=0, "0:00", SUM(V468-ref!E$38))))</f>
        <v>0</v>
      </c>
      <c r="X468" s="137"/>
      <c r="Y468" s="92"/>
      <c r="Z468" s="247"/>
      <c r="AA468" s="142">
        <f t="shared" si="374"/>
        <v>0</v>
      </c>
      <c r="AB468" s="245" t="str">
        <f>IF(AA468="","",IF(SUM(AA468-ref!E$38)&gt;0,0,IF(AA468=0, "0:00", SUM(AA468-ref!E$38))))</f>
        <v>0:00</v>
      </c>
      <c r="AC468" s="29"/>
      <c r="AD468" s="106"/>
      <c r="AE468" s="114">
        <f>Q471</f>
        <v>1.4583333333333337</v>
      </c>
      <c r="AF468" s="77">
        <f t="shared" si="370"/>
        <v>1</v>
      </c>
      <c r="AG468" s="19"/>
      <c r="AH468" s="178" t="s">
        <v>74</v>
      </c>
      <c r="AI468" s="54" t="s">
        <v>68</v>
      </c>
      <c r="AJ468" s="177" t="s">
        <v>75</v>
      </c>
      <c r="AK468" s="55" cm="1">
        <f t="array" ref="AK468">IF(ISNUMBER(G469),G469-_xlfn.AGGREGATE(14,6,(K$4:K468&lt;G469)*K$4:K468,1),"")</f>
        <v>0.66666666666424135</v>
      </c>
      <c r="AL468" s="20">
        <f>IF(ISNUMBER(AK468),ABS(IF(SUM(AK468-ref!E$9)&gt;0,0,SUM(AK468-ref!E$9))),"")</f>
        <v>0</v>
      </c>
      <c r="AQ468"/>
    </row>
    <row r="469" spans="2:43" x14ac:dyDescent="0.25">
      <c r="B469" s="81">
        <v>11</v>
      </c>
      <c r="C469" s="88" t="s">
        <v>20</v>
      </c>
      <c r="D469" s="88"/>
      <c r="E469" s="154">
        <f t="shared" si="371"/>
        <v>44156</v>
      </c>
      <c r="F469" s="164" t="s">
        <v>20</v>
      </c>
      <c r="G469" s="155">
        <f t="shared" si="367"/>
        <v>44156.375</v>
      </c>
      <c r="H469" s="29">
        <v>0.375</v>
      </c>
      <c r="I469" s="23">
        <f t="shared" si="372"/>
        <v>4.166666666666663E-2</v>
      </c>
      <c r="J469" s="29">
        <v>0.70833333333333337</v>
      </c>
      <c r="K469" s="46">
        <f t="shared" si="368"/>
        <v>44156.708333333336</v>
      </c>
      <c r="L469" s="21">
        <f>IF(OR(F469="télétravail",F469="férié travaillé",F469="travail"),(J469-H469+IF(H469&gt;J469,1)-I469),INDEX(ref!$E$22:'ref'!$E$37,MATCH(F469,gerald3,0)))</f>
        <v>0.29166666666666674</v>
      </c>
      <c r="M469" s="13">
        <f>IF(SUM(L469-ref!E$8)&lt;0,0,SUM(L469-ref!E$8))</f>
        <v>0</v>
      </c>
      <c r="N469" s="252">
        <f>L469-(hs!D468+hs!F468+hs!H468+hs!J468)</f>
        <v>-4.166666666666663E-2</v>
      </c>
      <c r="O469" s="8">
        <f>IF(OR(F469="férié travaillé",F469="travail",F469="asa",F469="rtt"),J469-H469+IF(H469&gt;J469,1),INDEX(ref!$E$22:'ref'!$E$37,MATCH(F469,gerald2,0)))</f>
        <v>0.33333333333333337</v>
      </c>
      <c r="P469" s="14">
        <f>IF(SUM(O469-ref!E$4)&lt;0,0,SUM(O469-ref!E$4))</f>
        <v>0</v>
      </c>
      <c r="Q469" s="143">
        <f t="shared" si="373"/>
        <v>1.4583333333333337</v>
      </c>
      <c r="S469" s="137"/>
      <c r="T469" s="92">
        <v>0.52083333333333337</v>
      </c>
      <c r="U469" s="129">
        <v>0.5625</v>
      </c>
      <c r="V469" s="25">
        <f t="shared" si="369"/>
        <v>4.166666666666663E-2</v>
      </c>
      <c r="W469" s="139">
        <f>IF(V469="","",IF(SUM(V469-ref!E$38)&gt;0,0,IF(V469=0, "0:00", SUM(V469-ref!E$38))))</f>
        <v>0</v>
      </c>
      <c r="X469" s="137"/>
      <c r="Y469" s="92"/>
      <c r="Z469" s="247"/>
      <c r="AA469" s="142">
        <f t="shared" si="374"/>
        <v>0</v>
      </c>
      <c r="AB469" s="245" t="str">
        <f>IF(AA469="","",IF(SUM(AA469-ref!E$38)&gt;0,0,IF(AA469=0, "0:00", SUM(AA469-ref!E$38))))</f>
        <v>0:00</v>
      </c>
      <c r="AC469" s="29"/>
      <c r="AD469" s="106"/>
      <c r="AE469" s="117" t="s">
        <v>47</v>
      </c>
      <c r="AF469" s="77">
        <f t="shared" si="370"/>
        <v>1</v>
      </c>
      <c r="AG469" s="19"/>
      <c r="AH469" s="178" t="s">
        <v>75</v>
      </c>
      <c r="AI469" s="54" t="s">
        <v>68</v>
      </c>
      <c r="AJ469" s="177" t="s">
        <v>76</v>
      </c>
      <c r="AK469" s="55" t="str" cm="1">
        <f t="array" ref="AK469">IF(ISNUMBER(G470),G470-_xlfn.AGGREGATE(14,6,(K$4:K469&lt;G470)*K$4:K469,1),"")</f>
        <v/>
      </c>
      <c r="AL469" s="20" t="str">
        <f>IF(ISNUMBER(AK469),ABS(IF(SUM(AK469-ref!E$9)&gt;0,0,SUM(AK469-ref!E$9))),"")</f>
        <v/>
      </c>
      <c r="AQ469"/>
    </row>
    <row r="470" spans="2:43" ht="15.75" thickBot="1" x14ac:dyDescent="0.3">
      <c r="B470"/>
      <c r="C470" s="89"/>
      <c r="D470" s="89"/>
      <c r="E470" s="154">
        <f t="shared" si="371"/>
        <v>44157</v>
      </c>
      <c r="F470" s="164" t="s">
        <v>19</v>
      </c>
      <c r="G470" s="155" t="str">
        <f t="shared" si="367"/>
        <v/>
      </c>
      <c r="H470" s="29"/>
      <c r="I470" s="23">
        <f t="shared" si="372"/>
        <v>0</v>
      </c>
      <c r="J470" s="29"/>
      <c r="K470" s="46" t="str">
        <f t="shared" si="368"/>
        <v/>
      </c>
      <c r="L470" s="21">
        <f>IF(OR(F470="télétravail",F470="férié travaillé",F470="travail"),(J470-H470+IF(H470&gt;J470,1)-I470),INDEX(ref!$E$22:'ref'!$E$37,MATCH(F470,gerald3,0)))</f>
        <v>0</v>
      </c>
      <c r="M470" s="13">
        <f>IF(SUM(L470-ref!E$8)&lt;0,0,SUM(L470-ref!E$8))</f>
        <v>0</v>
      </c>
      <c r="N470" s="252">
        <f>L470-(hs!D469+hs!F469+hs!H469+hs!J469)</f>
        <v>0</v>
      </c>
      <c r="O470" s="8">
        <f>IF(OR(F470="férié travaillé",F470="travail",F470="asa",F470="rtt"),J470-H470+IF(H470&gt;J470,1),INDEX(ref!$E$22:'ref'!$E$37,MATCH(F470,gerald2,0)))</f>
        <v>0</v>
      </c>
      <c r="P470" s="14">
        <f>IF(SUM(O470-ref!E$4)&lt;0,0,SUM(O470-ref!E$4))</f>
        <v>0</v>
      </c>
      <c r="Q470" s="97">
        <f t="shared" si="373"/>
        <v>1.4583333333333337</v>
      </c>
      <c r="S470" s="137"/>
      <c r="T470" s="92"/>
      <c r="U470" s="29"/>
      <c r="V470" s="25">
        <f t="shared" si="369"/>
        <v>0</v>
      </c>
      <c r="W470" s="139" t="str">
        <f>IF(V470="","",IF(SUM(V470-ref!E$38)&gt;0,0,IF(V470=0, "0:00", SUM(V470-ref!E$38))))</f>
        <v>0:00</v>
      </c>
      <c r="X470" s="137"/>
      <c r="Y470" s="92"/>
      <c r="Z470" s="247"/>
      <c r="AA470" s="142">
        <f t="shared" si="374"/>
        <v>0</v>
      </c>
      <c r="AB470" s="245" t="str">
        <f>IF(AA470="","",IF(SUM(AA470-ref!E$38)&gt;0,0,IF(AA470=0, "0:00", SUM(AA470-ref!E$38))))</f>
        <v>0:00</v>
      </c>
      <c r="AC470" s="29"/>
      <c r="AD470" s="106"/>
      <c r="AE470" s="118">
        <f>ref!E$11</f>
        <v>2</v>
      </c>
      <c r="AF470" s="77">
        <f t="shared" si="370"/>
        <v>0</v>
      </c>
      <c r="AG470" s="19"/>
      <c r="AH470" s="178" t="s">
        <v>76</v>
      </c>
      <c r="AI470" s="54" t="s">
        <v>68</v>
      </c>
      <c r="AJ470" s="177" t="s">
        <v>77</v>
      </c>
      <c r="AK470" s="55" t="str" cm="1">
        <f t="array" ref="AK470">IF(ISNUMBER(G471),G471-_xlfn.AGGREGATE(14,6,(K$4:K470&lt;G471)*K$4:K470,1),"")</f>
        <v/>
      </c>
      <c r="AL470" s="20" t="str">
        <f>IF(ISNUMBER(AK470),ABS(IF(SUM(AK470-ref!E$9)&gt;0,0,SUM(AK470-ref!E$9))),"")</f>
        <v/>
      </c>
      <c r="AQ470"/>
    </row>
    <row r="471" spans="2:43" ht="15.75" thickBot="1" x14ac:dyDescent="0.3">
      <c r="B471"/>
      <c r="C471" s="89"/>
      <c r="D471" s="89"/>
      <c r="E471" s="154">
        <f t="shared" si="371"/>
        <v>44158</v>
      </c>
      <c r="F471" s="165" t="s">
        <v>19</v>
      </c>
      <c r="G471" s="155" t="str">
        <f t="shared" si="367"/>
        <v/>
      </c>
      <c r="H471" s="29"/>
      <c r="I471" s="23">
        <f t="shared" si="372"/>
        <v>0</v>
      </c>
      <c r="J471" s="29"/>
      <c r="K471" s="46" t="str">
        <f t="shared" si="368"/>
        <v/>
      </c>
      <c r="L471" s="21">
        <f>IF(OR(F471="télétravail",F471="férié travaillé",F471="travail"),(J471-H471+IF(H471&gt;J471,1)-I471),INDEX(ref!$E$22:'ref'!$E$37,MATCH(F471,gerald3,0)))</f>
        <v>0</v>
      </c>
      <c r="M471" s="13">
        <f>IF(SUM(L471-ref!E$8)&lt;0,0,SUM(L471-ref!E$8))</f>
        <v>0</v>
      </c>
      <c r="N471" s="252">
        <f>L471-(hs!D470+hs!F470+hs!H470+hs!J470)</f>
        <v>0</v>
      </c>
      <c r="O471" s="8">
        <f>IF(OR(F471="férié travaillé",F471="travail",F471="asa",F471="rtt"),J471-H471+IF(H471&gt;J471,1),INDEX(ref!$E$22:'ref'!$E$37,MATCH(F471,gerald2,0)))</f>
        <v>0</v>
      </c>
      <c r="P471" s="14">
        <f>IF(SUM(O471-ref!E$4)&lt;0,0,SUM(O471-ref!E$4))</f>
        <v>0</v>
      </c>
      <c r="Q471" s="94">
        <f t="shared" si="373"/>
        <v>1.4583333333333337</v>
      </c>
      <c r="S471" s="138"/>
      <c r="T471" s="92"/>
      <c r="U471" s="29"/>
      <c r="V471" s="25">
        <f t="shared" si="369"/>
        <v>0</v>
      </c>
      <c r="W471" s="139" t="str">
        <f>IF(V471="","",IF(SUM(V471-ref!E$38)&gt;0,0,IF(V471=0, "0:00", SUM(V471-ref!E$38))))</f>
        <v>0:00</v>
      </c>
      <c r="X471" s="138"/>
      <c r="Y471" s="92"/>
      <c r="Z471" s="247"/>
      <c r="AA471" s="142">
        <f t="shared" si="374"/>
        <v>0</v>
      </c>
      <c r="AB471" s="246" t="str">
        <f>IF(AA471="","",IF(SUM(AA471-ref!E$38)&gt;0,0,IF(AA471=0, "0:00", SUM(AA471-ref!E$38))))</f>
        <v>0:00</v>
      </c>
      <c r="AC471" s="29"/>
      <c r="AD471" s="106"/>
      <c r="AE471" s="110">
        <f>IF(SUM(Q471-ref!E$11)&lt;0,0,SUM(Q471-ref!E$11))</f>
        <v>0</v>
      </c>
      <c r="AF471" s="77">
        <f t="shared" si="370"/>
        <v>0</v>
      </c>
      <c r="AG471" s="19"/>
      <c r="AQ471"/>
    </row>
    <row r="472" spans="2:43" x14ac:dyDescent="0.25">
      <c r="C472" s="89"/>
      <c r="D472" s="89"/>
      <c r="W472" s="74"/>
      <c r="X472" s="2"/>
      <c r="Z472"/>
      <c r="AA472" s="2"/>
      <c r="AB472" s="2"/>
      <c r="AC472" s="127"/>
      <c r="AQ472"/>
    </row>
    <row r="473" spans="2:43" x14ac:dyDescent="0.25">
      <c r="C473" s="89"/>
      <c r="D473" s="89"/>
      <c r="X473" s="2"/>
      <c r="Z473"/>
      <c r="AA473" s="2"/>
      <c r="AB473" s="2"/>
      <c r="AC473" s="127"/>
      <c r="AJ473" s="2"/>
    </row>
    <row r="474" spans="2:43" ht="15.75" thickBot="1" x14ac:dyDescent="0.3">
      <c r="C474" s="89"/>
      <c r="D474" s="89"/>
      <c r="W474" s="74"/>
      <c r="X474" s="2"/>
      <c r="Z474"/>
      <c r="AA474" s="2"/>
      <c r="AB474" s="2"/>
      <c r="AC474" s="127"/>
      <c r="AJ474" s="2"/>
    </row>
    <row r="475" spans="2:43" x14ac:dyDescent="0.25">
      <c r="B475" s="78" t="s">
        <v>1</v>
      </c>
      <c r="C475" s="88" t="s">
        <v>20</v>
      </c>
      <c r="D475" s="88"/>
      <c r="E475" s="154">
        <f>DATE(ref!E$2,B479,B477)</f>
        <v>44159</v>
      </c>
      <c r="F475" s="163" t="s">
        <v>20</v>
      </c>
      <c r="G475" s="155">
        <f t="shared" ref="G475:G481" si="375">IF(AND(J475="",H475=""),"",E475+H475)</f>
        <v>44159.375</v>
      </c>
      <c r="H475" s="29">
        <v>0.375</v>
      </c>
      <c r="I475" s="23">
        <f>SUM(V475+AA475+AC475)</f>
        <v>4.166666666666663E-2</v>
      </c>
      <c r="J475" s="29">
        <v>0.70833333333333337</v>
      </c>
      <c r="K475" s="46">
        <f t="shared" ref="K475:K481" si="376">IF(AND(H475="",J475=""),"",E475+J475+(H475&gt;J475))</f>
        <v>44159.708333333336</v>
      </c>
      <c r="L475" s="21">
        <f>IF(OR(F475="télétravail",F475="férié travaillé",F475="travail"),(J475-H475+IF(H475&gt;J475,1)-I475),INDEX(ref!$E$22:'ref'!$E$37,MATCH(F475,gerald3,0)))</f>
        <v>0.29166666666666674</v>
      </c>
      <c r="M475" s="13">
        <f>IF(SUM(L475-ref!E$8)&lt;0,0,SUM(L475-ref!E$8))</f>
        <v>0</v>
      </c>
      <c r="N475" s="252">
        <f>L475-(hs!D474+hs!F474+hs!H474+hs!J474)</f>
        <v>-4.166666666666663E-2</v>
      </c>
      <c r="O475" s="8">
        <f>IF(OR(F475="férié travaillé",F475="travail",F475="asa",F475="rtt"),J475-H475+IF(H475&gt;J475,1),INDEX(ref!$E$22:'ref'!$E$37,MATCH(F475,gerald2,0)))</f>
        <v>0.33333333333333337</v>
      </c>
      <c r="P475" s="14">
        <f>IF(SUM(O475-ref!E$4)&lt;0,0,SUM(O475-ref!E$4))</f>
        <v>0</v>
      </c>
      <c r="Q475" s="166">
        <f>L475</f>
        <v>0.29166666666666674</v>
      </c>
      <c r="S475" s="136"/>
      <c r="T475" s="92">
        <v>0.52083333333333337</v>
      </c>
      <c r="U475" s="129">
        <v>0.5625</v>
      </c>
      <c r="V475" s="142">
        <f t="shared" ref="V475:V481" si="377">U475-T475</f>
        <v>4.166666666666663E-2</v>
      </c>
      <c r="W475" s="141">
        <f>IF(V475="","",IF(SUM(V475-ref!E$38)&gt;0,0,IF(V475=0, "0:00", SUM(V475-ref!E$38))))</f>
        <v>0</v>
      </c>
      <c r="X475" s="136"/>
      <c r="Y475" s="92"/>
      <c r="Z475" s="247"/>
      <c r="AA475" s="142">
        <f>Z475-Y475</f>
        <v>0</v>
      </c>
      <c r="AB475" s="244" t="str">
        <f>IF(AA475="","",IF(SUM(AA475-ref!E$38)&gt;0,0,IF(AA475=0, "0:00", SUM(AA475-ref!E$38))))</f>
        <v>0:00</v>
      </c>
      <c r="AC475" s="29"/>
      <c r="AD475" s="106"/>
      <c r="AE475" s="111">
        <f>SUM(AF475:AF481)</f>
        <v>5</v>
      </c>
      <c r="AF475" s="77">
        <f t="shared" ref="AF475:AF481" si="378">IF(AND(H475&lt;&gt;"",J475&lt;&gt;""),1,0+OR(N(J474)&lt;N(H474),F475="récupération",F475="congé 1 jour",F475="congé 1/2 jour ",F475="congé 5h24",F475="arrêt maladie",F475="arrêt travail",F475="férié ",F475="congé parentale",F475="congé de naissance"))</f>
        <v>1</v>
      </c>
      <c r="AG475" s="19"/>
      <c r="AH475" s="176" t="s">
        <v>71</v>
      </c>
      <c r="AI475" s="54" t="s">
        <v>68</v>
      </c>
      <c r="AJ475" s="177" t="s">
        <v>72</v>
      </c>
      <c r="AK475" s="55" cm="1">
        <f t="array" ref="AK475">IF(ISNUMBER(G476),G476-_xlfn.AGGREGATE(14,6,(K$4:K475&lt;G476)*K$4:K475,1),"")</f>
        <v>0.66666666666424135</v>
      </c>
      <c r="AL475" s="20">
        <f>IF(ISNUMBER(AK475),ABS(IF(SUM(AK475-ref!E$9)&gt;0,0,SUM(AK475-ref!E$9))),"")</f>
        <v>0</v>
      </c>
      <c r="AQ475"/>
    </row>
    <row r="476" spans="2:43" x14ac:dyDescent="0.25">
      <c r="B476" s="79" t="s">
        <v>1</v>
      </c>
      <c r="C476" s="88" t="s">
        <v>20</v>
      </c>
      <c r="D476" s="88"/>
      <c r="E476" s="154">
        <f t="shared" ref="E476:E481" si="379">E475+1</f>
        <v>44160</v>
      </c>
      <c r="F476" s="164" t="s">
        <v>20</v>
      </c>
      <c r="G476" s="155">
        <f t="shared" si="375"/>
        <v>44160.375</v>
      </c>
      <c r="H476" s="29">
        <v>0.375</v>
      </c>
      <c r="I476" s="23">
        <f t="shared" ref="I476:I481" si="380">SUM(V476+AA476+AC476)</f>
        <v>4.166666666666663E-2</v>
      </c>
      <c r="J476" s="29">
        <v>0.70833333333333337</v>
      </c>
      <c r="K476" s="46">
        <f t="shared" si="376"/>
        <v>44160.708333333336</v>
      </c>
      <c r="L476" s="21">
        <f>IF(OR(F476="télétravail",F476="férié travaillé",F476="travail"),(J476-H476+IF(H476&gt;J476,1)-I476),INDEX(ref!$E$22:'ref'!$E$37,MATCH(F476,gerald3,0)))</f>
        <v>0.29166666666666674</v>
      </c>
      <c r="M476" s="13">
        <f>IF(SUM(L476-ref!E$8)&lt;0,0,SUM(L476-ref!E$8))</f>
        <v>0</v>
      </c>
      <c r="N476" s="252">
        <f>L476-(hs!D475+hs!F475+hs!H475+hs!J475)</f>
        <v>-4.166666666666663E-2</v>
      </c>
      <c r="O476" s="8">
        <f>IF(OR(F476="férié travaillé",F476="travail",F476="asa",F476="rtt"),J476-H476+IF(H476&gt;J476,1),INDEX(ref!$E$22:'ref'!$E$37,MATCH(F476,gerald2,0)))</f>
        <v>0.33333333333333337</v>
      </c>
      <c r="P476" s="14">
        <f>IF(SUM(O476-ref!E$4)&lt;0,0,SUM(O476-ref!E$4))</f>
        <v>0</v>
      </c>
      <c r="Q476" s="98">
        <f t="shared" ref="Q476:Q481" si="381">Q475+L476</f>
        <v>0.58333333333333348</v>
      </c>
      <c r="S476" s="137"/>
      <c r="T476" s="92">
        <v>0.52083333333333337</v>
      </c>
      <c r="U476" s="129">
        <v>0.5625</v>
      </c>
      <c r="V476" s="142">
        <f t="shared" si="377"/>
        <v>4.166666666666663E-2</v>
      </c>
      <c r="W476" s="141">
        <f>IF(V476="","",IF(SUM(V476-ref!E$38)&gt;0,0,IF(V476=0, "0:00", SUM(V476-ref!E$38))))</f>
        <v>0</v>
      </c>
      <c r="X476" s="137"/>
      <c r="Y476" s="92"/>
      <c r="Z476" s="247"/>
      <c r="AA476" s="142">
        <f t="shared" ref="AA476:AA481" si="382">Z476-Y476</f>
        <v>0</v>
      </c>
      <c r="AB476" s="245" t="str">
        <f>IF(AA476="","",IF(SUM(AA476-ref!E$38)&gt;0,0,IF(AA476=0, "0:00", SUM(AA476-ref!E$38))))</f>
        <v>0:00</v>
      </c>
      <c r="AC476" s="29"/>
      <c r="AD476" s="106"/>
      <c r="AE476" s="112">
        <f>IF(SUM(AE475-ref!E$7)&lt;0,0,SUM(AE475-ref!E$7))</f>
        <v>0</v>
      </c>
      <c r="AF476" s="77">
        <f t="shared" si="378"/>
        <v>1</v>
      </c>
      <c r="AG476" s="19"/>
      <c r="AH476" s="178" t="s">
        <v>72</v>
      </c>
      <c r="AI476" s="54" t="s">
        <v>68</v>
      </c>
      <c r="AJ476" s="177" t="s">
        <v>73</v>
      </c>
      <c r="AK476" s="55" cm="1">
        <f t="array" ref="AK476">IF(ISNUMBER(G477),G477-_xlfn.AGGREGATE(14,6,(K$4:K476&lt;G477)*K$4:K476,1),"")</f>
        <v>0.66666666666424135</v>
      </c>
      <c r="AL476" s="20">
        <f>IF(ISNUMBER(AK476),ABS(IF(SUM(AK476-ref!E$9)&gt;0,0,SUM(AK476-ref!E$9))),"")</f>
        <v>0</v>
      </c>
      <c r="AQ476"/>
    </row>
    <row r="477" spans="2:43" x14ac:dyDescent="0.25">
      <c r="B477" s="80">
        <v>25</v>
      </c>
      <c r="C477" s="88" t="s">
        <v>20</v>
      </c>
      <c r="D477" s="88"/>
      <c r="E477" s="154">
        <f t="shared" si="379"/>
        <v>44161</v>
      </c>
      <c r="F477" s="164" t="s">
        <v>20</v>
      </c>
      <c r="G477" s="155">
        <f t="shared" si="375"/>
        <v>44161.375</v>
      </c>
      <c r="H477" s="29">
        <v>0.375</v>
      </c>
      <c r="I477" s="23">
        <f t="shared" si="380"/>
        <v>4.166666666666663E-2</v>
      </c>
      <c r="J477" s="29">
        <v>0.70833333333333337</v>
      </c>
      <c r="K477" s="46">
        <f t="shared" si="376"/>
        <v>44161.708333333336</v>
      </c>
      <c r="L477" s="21">
        <f>IF(OR(F477="télétravail",F477="férié travaillé",F477="travail"),(J477-H477+IF(H477&gt;J477,1)-I477),INDEX(ref!$E$22:'ref'!$E$37,MATCH(F477,gerald3,0)))</f>
        <v>0.29166666666666674</v>
      </c>
      <c r="M477" s="13">
        <f>IF(SUM(L477-ref!E$8)&lt;0,0,SUM(L477-ref!E$8))</f>
        <v>0</v>
      </c>
      <c r="N477" s="252">
        <f>L477-(hs!D476+hs!F476+hs!H476+hs!J476)</f>
        <v>-4.166666666666663E-2</v>
      </c>
      <c r="O477" s="8">
        <f>IF(OR(F477="férié travaillé",F477="travail",F477="asa",F477="rtt"),J477-H477+IF(H477&gt;J477,1),INDEX(ref!$E$22:'ref'!$E$37,MATCH(F477,gerald2,0)))</f>
        <v>0.33333333333333337</v>
      </c>
      <c r="P477" s="14">
        <f>IF(SUM(O477-ref!E$4)&lt;0,0,SUM(O477-ref!E$4))</f>
        <v>0</v>
      </c>
      <c r="Q477" s="98">
        <f t="shared" si="381"/>
        <v>0.87500000000000022</v>
      </c>
      <c r="S477" s="137"/>
      <c r="T477" s="92">
        <v>0.52083333333333337</v>
      </c>
      <c r="U477" s="129">
        <v>0.5625</v>
      </c>
      <c r="V477" s="142">
        <f t="shared" si="377"/>
        <v>4.166666666666663E-2</v>
      </c>
      <c r="W477" s="141">
        <f>IF(V477="","",IF(SUM(V477-ref!E$38)&gt;0,0,IF(V477=0, "0:00", SUM(V477-ref!E$38))))</f>
        <v>0</v>
      </c>
      <c r="X477" s="137"/>
      <c r="Y477" s="92"/>
      <c r="Z477" s="247"/>
      <c r="AA477" s="142">
        <f t="shared" si="382"/>
        <v>0</v>
      </c>
      <c r="AB477" s="245" t="str">
        <f>IF(AA477="","",IF(SUM(AA477-ref!E$38)&gt;0,0,IF(AA477=0, "0:00", SUM(AA477-ref!E$38))))</f>
        <v>0:00</v>
      </c>
      <c r="AC477" s="29"/>
      <c r="AD477" s="106"/>
      <c r="AE477" s="113" t="s">
        <v>29</v>
      </c>
      <c r="AF477" s="77">
        <f t="shared" si="378"/>
        <v>1</v>
      </c>
      <c r="AG477" s="19"/>
      <c r="AH477" s="178" t="s">
        <v>73</v>
      </c>
      <c r="AI477" s="54" t="s">
        <v>68</v>
      </c>
      <c r="AJ477" s="177" t="s">
        <v>74</v>
      </c>
      <c r="AK477" s="55" cm="1">
        <f t="array" ref="AK477">IF(ISNUMBER(G478),G478-_xlfn.AGGREGATE(14,6,(K$4:K477&lt;G478)*K$4:K477,1),"")</f>
        <v>0.66666666666424135</v>
      </c>
      <c r="AL477" s="20">
        <f>IF(ISNUMBER(AK477),ABS(IF(SUM(AK477-ref!E$9)&gt;0,0,SUM(AK477-ref!E$9))),"")</f>
        <v>0</v>
      </c>
      <c r="AQ477"/>
    </row>
    <row r="478" spans="2:43" x14ac:dyDescent="0.25">
      <c r="B478" s="79" t="s">
        <v>58</v>
      </c>
      <c r="C478" s="88" t="s">
        <v>20</v>
      </c>
      <c r="D478" s="88"/>
      <c r="E478" s="154">
        <f t="shared" si="379"/>
        <v>44162</v>
      </c>
      <c r="F478" s="164" t="s">
        <v>20</v>
      </c>
      <c r="G478" s="155">
        <f t="shared" si="375"/>
        <v>44162.375</v>
      </c>
      <c r="H478" s="29">
        <v>0.375</v>
      </c>
      <c r="I478" s="23">
        <f t="shared" si="380"/>
        <v>4.166666666666663E-2</v>
      </c>
      <c r="J478" s="29">
        <v>0.70833333333333337</v>
      </c>
      <c r="K478" s="46">
        <f t="shared" si="376"/>
        <v>44162.708333333336</v>
      </c>
      <c r="L478" s="21">
        <f>IF(OR(F478="télétravail",F478="férié travaillé",F478="travail"),(J478-H478+IF(H478&gt;J478,1)-I478),INDEX(ref!$E$22:'ref'!$E$37,MATCH(F478,gerald3,0)))</f>
        <v>0.29166666666666674</v>
      </c>
      <c r="M478" s="13">
        <f>IF(SUM(L478-ref!E$8)&lt;0,0,SUM(L478-ref!E$8))</f>
        <v>0</v>
      </c>
      <c r="N478" s="252">
        <f>L478-(hs!D477+hs!F477+hs!H477+hs!J477)</f>
        <v>-4.166666666666663E-2</v>
      </c>
      <c r="O478" s="8">
        <f>IF(OR(F478="férié travaillé",F478="travail",F478="asa",F478="rtt"),J478-H478+IF(H478&gt;J478,1),INDEX(ref!$E$22:'ref'!$E$37,MATCH(F478,gerald2,0)))</f>
        <v>0.33333333333333337</v>
      </c>
      <c r="P478" s="14">
        <f>IF(SUM(O478-ref!E$4)&lt;0,0,SUM(O478-ref!E$4))</f>
        <v>0</v>
      </c>
      <c r="Q478" s="98">
        <f t="shared" si="381"/>
        <v>1.166666666666667</v>
      </c>
      <c r="S478" s="137"/>
      <c r="T478" s="92">
        <v>0.52083333333333337</v>
      </c>
      <c r="U478" s="129">
        <v>0.5625</v>
      </c>
      <c r="V478" s="142">
        <f t="shared" si="377"/>
        <v>4.166666666666663E-2</v>
      </c>
      <c r="W478" s="141">
        <f>IF(V478="","",IF(SUM(V478-ref!E$38)&gt;0,0,IF(V478=0, "0:00", SUM(V478-ref!E$38))))</f>
        <v>0</v>
      </c>
      <c r="X478" s="137"/>
      <c r="Y478" s="92"/>
      <c r="Z478" s="247"/>
      <c r="AA478" s="142">
        <f t="shared" si="382"/>
        <v>0</v>
      </c>
      <c r="AB478" s="245" t="str">
        <f>IF(AA478="","",IF(SUM(AA478-ref!E$38)&gt;0,0,IF(AA478=0, "0:00", SUM(AA478-ref!E$38))))</f>
        <v>0:00</v>
      </c>
      <c r="AC478" s="29"/>
      <c r="AD478" s="106"/>
      <c r="AE478" s="114">
        <f>Q481</f>
        <v>1.4583333333333337</v>
      </c>
      <c r="AF478" s="77">
        <f t="shared" si="378"/>
        <v>1</v>
      </c>
      <c r="AG478" s="19"/>
      <c r="AH478" s="178" t="s">
        <v>74</v>
      </c>
      <c r="AI478" s="54" t="s">
        <v>68</v>
      </c>
      <c r="AJ478" s="177" t="s">
        <v>75</v>
      </c>
      <c r="AK478" s="55" cm="1">
        <f t="array" ref="AK478">IF(ISNUMBER(G479),G479-_xlfn.AGGREGATE(14,6,(K$4:K478&lt;G479)*K$4:K478,1),"")</f>
        <v>0.66666666666424135</v>
      </c>
      <c r="AL478" s="20">
        <f>IF(ISNUMBER(AK478),ABS(IF(SUM(AK478-ref!E$9)&gt;0,0,SUM(AK478-ref!E$9))),"")</f>
        <v>0</v>
      </c>
      <c r="AQ478"/>
    </row>
    <row r="479" spans="2:43" x14ac:dyDescent="0.25">
      <c r="B479" s="81">
        <v>11</v>
      </c>
      <c r="C479" s="88" t="s">
        <v>20</v>
      </c>
      <c r="D479" s="88"/>
      <c r="E479" s="154">
        <f t="shared" si="379"/>
        <v>44163</v>
      </c>
      <c r="F479" s="164" t="s">
        <v>20</v>
      </c>
      <c r="G479" s="155">
        <f t="shared" si="375"/>
        <v>44163.375</v>
      </c>
      <c r="H479" s="29">
        <v>0.375</v>
      </c>
      <c r="I479" s="23">
        <f t="shared" si="380"/>
        <v>4.166666666666663E-2</v>
      </c>
      <c r="J479" s="29">
        <v>0.70833333333333337</v>
      </c>
      <c r="K479" s="46">
        <f t="shared" si="376"/>
        <v>44163.708333333336</v>
      </c>
      <c r="L479" s="21">
        <f>IF(OR(F479="télétravail",F479="férié travaillé",F479="travail"),(J479-H479+IF(H479&gt;J479,1)-I479),INDEX(ref!$E$22:'ref'!$E$37,MATCH(F479,gerald3,0)))</f>
        <v>0.29166666666666674</v>
      </c>
      <c r="M479" s="13">
        <f>IF(SUM(L479-ref!E$8)&lt;0,0,SUM(L479-ref!E$8))</f>
        <v>0</v>
      </c>
      <c r="N479" s="252">
        <f>L479-(hs!D478+hs!F478+hs!H478+hs!J478)</f>
        <v>-4.166666666666663E-2</v>
      </c>
      <c r="O479" s="8">
        <f>IF(OR(F479="férié travaillé",F479="travail",F479="asa",F479="rtt"),J479-H479+IF(H479&gt;J479,1),INDEX(ref!$E$22:'ref'!$E$37,MATCH(F479,gerald2,0)))</f>
        <v>0.33333333333333337</v>
      </c>
      <c r="P479" s="14">
        <f>IF(SUM(O479-ref!E$4)&lt;0,0,SUM(O479-ref!E$4))</f>
        <v>0</v>
      </c>
      <c r="Q479" s="98">
        <f t="shared" si="381"/>
        <v>1.4583333333333337</v>
      </c>
      <c r="S479" s="137"/>
      <c r="T479" s="92">
        <v>0.52083333333333337</v>
      </c>
      <c r="U479" s="129">
        <v>0.5625</v>
      </c>
      <c r="V479" s="142">
        <f t="shared" si="377"/>
        <v>4.166666666666663E-2</v>
      </c>
      <c r="W479" s="141">
        <f>IF(V479="","",IF(SUM(V479-ref!E$38)&gt;0,0,IF(V479=0, "0:00", SUM(V479-ref!E$38))))</f>
        <v>0</v>
      </c>
      <c r="X479" s="137"/>
      <c r="Y479" s="92"/>
      <c r="Z479" s="247"/>
      <c r="AA479" s="142">
        <f t="shared" si="382"/>
        <v>0</v>
      </c>
      <c r="AB479" s="245" t="str">
        <f>IF(AA479="","",IF(SUM(AA479-ref!E$38)&gt;0,0,IF(AA479=0, "0:00", SUM(AA479-ref!E$38))))</f>
        <v>0:00</v>
      </c>
      <c r="AC479" s="29"/>
      <c r="AD479" s="106"/>
      <c r="AE479" s="117" t="s">
        <v>47</v>
      </c>
      <c r="AF479" s="77">
        <f t="shared" si="378"/>
        <v>1</v>
      </c>
      <c r="AG479" s="19"/>
      <c r="AH479" s="178" t="s">
        <v>75</v>
      </c>
      <c r="AI479" s="54" t="s">
        <v>68</v>
      </c>
      <c r="AJ479" s="177" t="s">
        <v>76</v>
      </c>
      <c r="AK479" s="55" t="str" cm="1">
        <f t="array" ref="AK479">IF(ISNUMBER(G480),G480-_xlfn.AGGREGATE(14,6,(K$4:K479&lt;G480)*K$4:K479,1),"")</f>
        <v/>
      </c>
      <c r="AL479" s="20" t="str">
        <f>IF(ISNUMBER(AK479),ABS(IF(SUM(AK479-ref!E$9)&gt;0,0,SUM(AK479-ref!E$9))),"")</f>
        <v/>
      </c>
      <c r="AQ479"/>
    </row>
    <row r="480" spans="2:43" ht="15.75" thickBot="1" x14ac:dyDescent="0.3">
      <c r="B480"/>
      <c r="C480" s="89"/>
      <c r="D480" s="89"/>
      <c r="E480" s="154">
        <f t="shared" si="379"/>
        <v>44164</v>
      </c>
      <c r="F480" s="164" t="s">
        <v>19</v>
      </c>
      <c r="G480" s="155" t="str">
        <f t="shared" si="375"/>
        <v/>
      </c>
      <c r="H480" s="29"/>
      <c r="I480" s="23">
        <f t="shared" si="380"/>
        <v>0</v>
      </c>
      <c r="J480" s="29"/>
      <c r="K480" s="46" t="str">
        <f t="shared" si="376"/>
        <v/>
      </c>
      <c r="L480" s="21">
        <f>IF(OR(F480="télétravail",F480="férié travaillé",F480="travail"),(J480-H480+IF(H480&gt;J480,1)-I480),INDEX(ref!$E$22:'ref'!$E$37,MATCH(F480,gerald3,0)))</f>
        <v>0</v>
      </c>
      <c r="M480" s="13">
        <f>IF(SUM(L480-ref!E$8)&lt;0,0,SUM(L480-ref!E$8))</f>
        <v>0</v>
      </c>
      <c r="N480" s="252">
        <f>L480-(hs!D479+hs!F479+hs!H479+hs!J479)</f>
        <v>0</v>
      </c>
      <c r="O480" s="8">
        <f>IF(OR(F480="férié travaillé",F480="travail",F480="asa",F480="rtt"),J480-H480+IF(H480&gt;J480,1),INDEX(ref!$E$22:'ref'!$E$37,MATCH(F480,gerald2,0)))</f>
        <v>0</v>
      </c>
      <c r="P480" s="14">
        <f>IF(SUM(O480-ref!E$4)&lt;0,0,SUM(O480-ref!E$4))</f>
        <v>0</v>
      </c>
      <c r="Q480" s="97">
        <f t="shared" si="381"/>
        <v>1.4583333333333337</v>
      </c>
      <c r="S480" s="137"/>
      <c r="T480" s="92"/>
      <c r="U480" s="129"/>
      <c r="V480" s="142">
        <f t="shared" si="377"/>
        <v>0</v>
      </c>
      <c r="W480" s="141" t="str">
        <f>IF(V480="","",IF(SUM(V480-ref!E$38)&gt;0,0,IF(V480=0, "0:00", SUM(V480-ref!E$38))))</f>
        <v>0:00</v>
      </c>
      <c r="X480" s="137"/>
      <c r="Y480" s="92"/>
      <c r="Z480" s="247"/>
      <c r="AA480" s="142">
        <f t="shared" si="382"/>
        <v>0</v>
      </c>
      <c r="AB480" s="245" t="str">
        <f>IF(AA480="","",IF(SUM(AA480-ref!E$38)&gt;0,0,IF(AA480=0, "0:00", SUM(AA480-ref!E$38))))</f>
        <v>0:00</v>
      </c>
      <c r="AC480" s="29"/>
      <c r="AD480" s="106"/>
      <c r="AE480" s="118">
        <f>ref!E$11</f>
        <v>2</v>
      </c>
      <c r="AF480" s="77">
        <f t="shared" si="378"/>
        <v>0</v>
      </c>
      <c r="AG480" s="19"/>
      <c r="AH480" s="178" t="s">
        <v>76</v>
      </c>
      <c r="AI480" s="54" t="s">
        <v>68</v>
      </c>
      <c r="AJ480" s="177" t="s">
        <v>77</v>
      </c>
      <c r="AK480" s="55" t="str" cm="1">
        <f t="array" ref="AK480">IF(ISNUMBER(G481),G481-_xlfn.AGGREGATE(14,6,(K$4:K480&lt;G481)*K$4:K480,1),"")</f>
        <v/>
      </c>
      <c r="AL480" s="20" t="str">
        <f>IF(ISNUMBER(AK480),ABS(IF(SUM(AK480-ref!E$9)&gt;0,0,SUM(AK480-ref!E$9))),"")</f>
        <v/>
      </c>
      <c r="AQ480"/>
    </row>
    <row r="481" spans="2:43" ht="15.75" thickBot="1" x14ac:dyDescent="0.3">
      <c r="B481"/>
      <c r="C481" s="89"/>
      <c r="D481" s="89"/>
      <c r="E481" s="154">
        <f t="shared" si="379"/>
        <v>44165</v>
      </c>
      <c r="F481" s="165" t="s">
        <v>19</v>
      </c>
      <c r="G481" s="155" t="str">
        <f t="shared" si="375"/>
        <v/>
      </c>
      <c r="H481" s="29"/>
      <c r="I481" s="23">
        <f t="shared" si="380"/>
        <v>0</v>
      </c>
      <c r="J481" s="29"/>
      <c r="K481" s="46" t="str">
        <f t="shared" si="376"/>
        <v/>
      </c>
      <c r="L481" s="21">
        <f>IF(OR(F481="télétravail",F481="férié travaillé",F481="travail"),(J481-H481+IF(H481&gt;J481,1)-I481),INDEX(ref!$E$22:'ref'!$E$37,MATCH(F481,gerald3,0)))</f>
        <v>0</v>
      </c>
      <c r="M481" s="13">
        <f>IF(SUM(L481-ref!E$8)&lt;0,0,SUM(L481-ref!E$8))</f>
        <v>0</v>
      </c>
      <c r="N481" s="252">
        <f>L481-(hs!D480+hs!F480+hs!H480+hs!J480)</f>
        <v>0</v>
      </c>
      <c r="O481" s="8">
        <f>IF(OR(F481="férié travaillé",F481="travail",F481="asa",F481="rtt"),J481-H481+IF(H481&gt;J481,1),INDEX(ref!$E$22:'ref'!$E$37,MATCH(F481,gerald2,0)))</f>
        <v>0</v>
      </c>
      <c r="P481" s="14">
        <f>IF(SUM(O481-ref!E$4)&lt;0,0,SUM(O481-ref!E$4))</f>
        <v>0</v>
      </c>
      <c r="Q481" s="94">
        <f t="shared" si="381"/>
        <v>1.4583333333333337</v>
      </c>
      <c r="S481" s="138"/>
      <c r="T481" s="92"/>
      <c r="U481" s="129"/>
      <c r="V481" s="142">
        <f t="shared" si="377"/>
        <v>0</v>
      </c>
      <c r="W481" s="141" t="str">
        <f>IF(V481="","",IF(SUM(V481-ref!E$38)&gt;0,0,IF(V481=0, "0:00", SUM(V481-ref!E$38))))</f>
        <v>0:00</v>
      </c>
      <c r="X481" s="138"/>
      <c r="Y481" s="92"/>
      <c r="Z481" s="247"/>
      <c r="AA481" s="142">
        <f t="shared" si="382"/>
        <v>0</v>
      </c>
      <c r="AB481" s="246" t="str">
        <f>IF(AA481="","",IF(SUM(AA481-ref!E$38)&gt;0,0,IF(AA481=0, "0:00", SUM(AA481-ref!E$38))))</f>
        <v>0:00</v>
      </c>
      <c r="AC481" s="29"/>
      <c r="AD481" s="106"/>
      <c r="AE481" s="110">
        <f>IF(SUM(Q481-ref!E$11)&lt;0,0,SUM(Q481-ref!E$11))</f>
        <v>0</v>
      </c>
      <c r="AF481" s="77">
        <f t="shared" si="378"/>
        <v>0</v>
      </c>
      <c r="AG481" s="19"/>
      <c r="AQ481"/>
    </row>
    <row r="482" spans="2:43" x14ac:dyDescent="0.25">
      <c r="C482" s="89"/>
      <c r="D482" s="89"/>
      <c r="W482" s="74"/>
      <c r="X482" s="2"/>
      <c r="Z482"/>
      <c r="AA482" s="2"/>
      <c r="AB482" s="2"/>
      <c r="AC482" s="127"/>
      <c r="AQ482"/>
    </row>
    <row r="483" spans="2:43" x14ac:dyDescent="0.25">
      <c r="C483" s="89"/>
      <c r="D483" s="89"/>
      <c r="X483" s="2"/>
      <c r="Z483"/>
      <c r="AA483" s="2"/>
      <c r="AB483" s="2"/>
      <c r="AC483" s="127"/>
      <c r="AJ483" s="2"/>
    </row>
    <row r="484" spans="2:43" ht="15.75" thickBot="1" x14ac:dyDescent="0.3">
      <c r="C484" s="89"/>
      <c r="D484" s="89"/>
      <c r="W484" s="74"/>
      <c r="X484" s="2"/>
      <c r="Z484"/>
      <c r="AA484" s="2"/>
      <c r="AB484" s="2"/>
      <c r="AC484" s="127"/>
      <c r="AJ484" s="2"/>
    </row>
    <row r="485" spans="2:43" x14ac:dyDescent="0.25">
      <c r="B485" s="78" t="s">
        <v>1</v>
      </c>
      <c r="C485" s="88" t="s">
        <v>20</v>
      </c>
      <c r="D485" s="88"/>
      <c r="E485" s="154">
        <f>DATE(ref!E$2,B489,B487)</f>
        <v>44166</v>
      </c>
      <c r="F485" s="163" t="s">
        <v>20</v>
      </c>
      <c r="G485" s="155">
        <f t="shared" ref="G485:G491" si="383">IF(AND(J485="",H485=""),"",E485+H485)</f>
        <v>44166.375</v>
      </c>
      <c r="H485" s="29">
        <v>0.375</v>
      </c>
      <c r="I485" s="23">
        <f>SUM(V485+AA485+AC485)</f>
        <v>4.166666666666663E-2</v>
      </c>
      <c r="J485" s="29">
        <v>0.70833333333333337</v>
      </c>
      <c r="K485" s="60">
        <f t="shared" ref="K485:K491" si="384">IF(AND(H485="",J485=""),"",E485+J485+(H485&gt;J485))</f>
        <v>44166.708333333336</v>
      </c>
      <c r="L485" s="21">
        <f>IF(OR(F485="télétravail",F485="férié travaillé",F485="travail"),(J485-H485+IF(H485&gt;J485,1)-I485),INDEX(ref!$E$22:'ref'!$E$37,MATCH(F485,gerald3,0)))</f>
        <v>0.29166666666666674</v>
      </c>
      <c r="M485" s="13">
        <f>IF(SUM(L485-ref!E$8)&lt;0,0,SUM(L485-ref!E$8))</f>
        <v>0</v>
      </c>
      <c r="N485" s="252">
        <f>L485-(hs!D484+hs!F484+hs!H484+hs!J484)</f>
        <v>-4.166666666666663E-2</v>
      </c>
      <c r="O485" s="8">
        <f>IF(OR(F485="férié travaillé",F485="travail",F485="asa",F485="rtt"),J485-H485+IF(H485&gt;J485,1),INDEX(ref!$E$22:'ref'!$E$37,MATCH(F485,gerald2,0)))</f>
        <v>0.33333333333333337</v>
      </c>
      <c r="P485" s="14">
        <f>IF(SUM(O485-ref!E$4)&lt;0,0,SUM(O485-ref!E$4))</f>
        <v>0</v>
      </c>
      <c r="Q485" s="166">
        <f>L485</f>
        <v>0.29166666666666674</v>
      </c>
      <c r="S485" s="136"/>
      <c r="T485" s="92">
        <v>0.52083333333333337</v>
      </c>
      <c r="U485" s="129">
        <v>0.5625</v>
      </c>
      <c r="V485" s="142">
        <f t="shared" ref="V485:V491" si="385">U485-T485</f>
        <v>4.166666666666663E-2</v>
      </c>
      <c r="W485" s="141">
        <f>IF(V485="","",IF(SUM(V485-ref!E$38)&gt;0,0,IF(V485=0, "0:00", SUM(V485-ref!E$38))))</f>
        <v>0</v>
      </c>
      <c r="X485" s="136"/>
      <c r="Y485" s="92"/>
      <c r="Z485" s="247"/>
      <c r="AA485" s="142">
        <f>Z485-Y485</f>
        <v>0</v>
      </c>
      <c r="AB485" s="244" t="str">
        <f>IF(AA485="","",IF(SUM(AA485-ref!E$38)&gt;0,0,IF(AA485=0, "0:00", SUM(AA485-ref!E$38))))</f>
        <v>0:00</v>
      </c>
      <c r="AC485" s="29"/>
      <c r="AD485" s="106"/>
      <c r="AE485" s="111">
        <f>SUM(AF485:AF491)</f>
        <v>5</v>
      </c>
      <c r="AF485" s="77">
        <f t="shared" ref="AF485:AF491" si="386">IF(AND(H485&lt;&gt;"",J485&lt;&gt;""),1,0+OR(N(J484)&lt;N(H484),F485="récupération",F485="congé 1 jour",F485="congé 1/2 jour ",F485="congé 5h24",F485="arrêt maladie",F485="arrêt travail",F485="férié ",F485="congé parentale",F485="congé de naissance"))</f>
        <v>1</v>
      </c>
      <c r="AG485" s="19"/>
      <c r="AH485" s="176" t="s">
        <v>71</v>
      </c>
      <c r="AI485" s="54" t="s">
        <v>68</v>
      </c>
      <c r="AJ485" s="177" t="s">
        <v>72</v>
      </c>
      <c r="AK485" s="55" cm="1">
        <f t="array" ref="AK485">IF(ISNUMBER(G486),G486-_xlfn.AGGREGATE(14,6,(K$4:K485&lt;G486)*K$4:K485,1),"")</f>
        <v>0.66666666666424135</v>
      </c>
      <c r="AL485" s="20">
        <f>IF(ISNUMBER(AK485),ABS(IF(SUM(AK485-ref!E$9)&gt;0,0,SUM(AK485-ref!E$9))),"")</f>
        <v>0</v>
      </c>
      <c r="AQ485"/>
    </row>
    <row r="486" spans="2:43" x14ac:dyDescent="0.25">
      <c r="B486" s="79" t="s">
        <v>1</v>
      </c>
      <c r="C486" s="88" t="s">
        <v>20</v>
      </c>
      <c r="D486" s="88"/>
      <c r="E486" s="154">
        <f t="shared" ref="E486:E491" si="387">E485+1</f>
        <v>44167</v>
      </c>
      <c r="F486" s="164" t="s">
        <v>20</v>
      </c>
      <c r="G486" s="155">
        <f t="shared" si="383"/>
        <v>44167.375</v>
      </c>
      <c r="H486" s="29">
        <v>0.375</v>
      </c>
      <c r="I486" s="23">
        <f t="shared" ref="I486:I491" si="388">SUM(V486+AA486+AC486)</f>
        <v>4.166666666666663E-2</v>
      </c>
      <c r="J486" s="29">
        <v>0.70833333333333337</v>
      </c>
      <c r="K486" s="60">
        <f t="shared" si="384"/>
        <v>44167.708333333336</v>
      </c>
      <c r="L486" s="21">
        <f>IF(OR(F486="télétravail",F486="férié travaillé",F486="travail"),(J486-H486+IF(H486&gt;J486,1)-I486),INDEX(ref!$E$22:'ref'!$E$37,MATCH(F486,gerald3,0)))</f>
        <v>0.29166666666666674</v>
      </c>
      <c r="M486" s="13">
        <f>IF(SUM(L486-ref!E$8)&lt;0,0,SUM(L486-ref!E$8))</f>
        <v>0</v>
      </c>
      <c r="N486" s="252">
        <f>L486-(hs!D485+hs!F485+hs!H485+hs!J485)</f>
        <v>-4.166666666666663E-2</v>
      </c>
      <c r="O486" s="8">
        <f>IF(OR(F486="férié travaillé",F486="travail",F486="asa",F486="rtt"),J486-H486+IF(H486&gt;J486,1),INDEX(ref!$E$22:'ref'!$E$37,MATCH(F486,gerald2,0)))</f>
        <v>0.33333333333333337</v>
      </c>
      <c r="P486" s="14">
        <f>IF(SUM(O486-ref!E$4)&lt;0,0,SUM(O486-ref!E$4))</f>
        <v>0</v>
      </c>
      <c r="Q486" s="98">
        <f t="shared" ref="Q486:Q491" si="389">Q485+L486</f>
        <v>0.58333333333333348</v>
      </c>
      <c r="S486" s="137"/>
      <c r="T486" s="92">
        <v>0.52083333333333337</v>
      </c>
      <c r="U486" s="129">
        <v>0.5625</v>
      </c>
      <c r="V486" s="142">
        <f t="shared" si="385"/>
        <v>4.166666666666663E-2</v>
      </c>
      <c r="W486" s="141">
        <f>IF(V486="","",IF(SUM(V486-ref!E$38)&gt;0,0,IF(V486=0, "0:00", SUM(V486-ref!E$38))))</f>
        <v>0</v>
      </c>
      <c r="X486" s="137"/>
      <c r="Y486" s="92"/>
      <c r="Z486" s="247"/>
      <c r="AA486" s="142">
        <f t="shared" ref="AA486:AA491" si="390">Z486-Y486</f>
        <v>0</v>
      </c>
      <c r="AB486" s="245" t="str">
        <f>IF(AA486="","",IF(SUM(AA486-ref!E$38)&gt;0,0,IF(AA486=0, "0:00", SUM(AA486-ref!E$38))))</f>
        <v>0:00</v>
      </c>
      <c r="AC486" s="29"/>
      <c r="AD486" s="106"/>
      <c r="AE486" s="112">
        <f>IF(SUM(AE485-ref!E$7)&lt;0,0,SUM(AE485-ref!E$7))</f>
        <v>0</v>
      </c>
      <c r="AF486" s="77">
        <f t="shared" si="386"/>
        <v>1</v>
      </c>
      <c r="AG486" s="19"/>
      <c r="AH486" s="178" t="s">
        <v>72</v>
      </c>
      <c r="AI486" s="54" t="s">
        <v>68</v>
      </c>
      <c r="AJ486" s="177" t="s">
        <v>73</v>
      </c>
      <c r="AK486" s="55" cm="1">
        <f t="array" ref="AK486">IF(ISNUMBER(G487),G487-_xlfn.AGGREGATE(14,6,(K$4:K486&lt;G487)*K$4:K486,1),"")</f>
        <v>0.66666666666424135</v>
      </c>
      <c r="AL486" s="20">
        <f>IF(ISNUMBER(AK486),ABS(IF(SUM(AK486-ref!E$9)&gt;0,0,SUM(AK486-ref!E$9))),"")</f>
        <v>0</v>
      </c>
      <c r="AQ486"/>
    </row>
    <row r="487" spans="2:43" x14ac:dyDescent="0.25">
      <c r="B487" s="80">
        <v>2</v>
      </c>
      <c r="C487" s="88" t="s">
        <v>20</v>
      </c>
      <c r="D487" s="88"/>
      <c r="E487" s="154">
        <f t="shared" si="387"/>
        <v>44168</v>
      </c>
      <c r="F487" s="164" t="s">
        <v>20</v>
      </c>
      <c r="G487" s="155">
        <f t="shared" si="383"/>
        <v>44168.375</v>
      </c>
      <c r="H487" s="29">
        <v>0.375</v>
      </c>
      <c r="I487" s="23">
        <f t="shared" si="388"/>
        <v>4.166666666666663E-2</v>
      </c>
      <c r="J487" s="29">
        <v>0.70833333333333337</v>
      </c>
      <c r="K487" s="60">
        <f t="shared" si="384"/>
        <v>44168.708333333336</v>
      </c>
      <c r="L487" s="21">
        <f>IF(OR(F487="télétravail",F487="férié travaillé",F487="travail"),(J487-H487+IF(H487&gt;J487,1)-I487),INDEX(ref!$E$22:'ref'!$E$37,MATCH(F487,gerald3,0)))</f>
        <v>0.29166666666666674</v>
      </c>
      <c r="M487" s="13">
        <f>IF(SUM(L487-ref!E$8)&lt;0,0,SUM(L487-ref!E$8))</f>
        <v>0</v>
      </c>
      <c r="N487" s="252">
        <f>L487-(hs!D486+hs!F486+hs!H486+hs!J486)</f>
        <v>-4.166666666666663E-2</v>
      </c>
      <c r="O487" s="8">
        <f>IF(OR(F487="férié travaillé",F487="travail",F487="asa",F487="rtt"),J487-H487+IF(H487&gt;J487,1),INDEX(ref!$E$22:'ref'!$E$37,MATCH(F487,gerald2,0)))</f>
        <v>0.33333333333333337</v>
      </c>
      <c r="P487" s="14">
        <f>IF(SUM(O487-ref!E$4)&lt;0,0,SUM(O487-ref!E$4))</f>
        <v>0</v>
      </c>
      <c r="Q487" s="98">
        <f t="shared" si="389"/>
        <v>0.87500000000000022</v>
      </c>
      <c r="S487" s="137"/>
      <c r="T487" s="92">
        <v>0.52083333333333337</v>
      </c>
      <c r="U487" s="129">
        <v>0.5625</v>
      </c>
      <c r="V487" s="142">
        <f t="shared" si="385"/>
        <v>4.166666666666663E-2</v>
      </c>
      <c r="W487" s="141">
        <f>IF(V487="","",IF(SUM(V487-ref!E$38)&gt;0,0,IF(V487=0, "0:00", SUM(V487-ref!E$38))))</f>
        <v>0</v>
      </c>
      <c r="X487" s="137"/>
      <c r="Y487" s="92"/>
      <c r="Z487" s="247"/>
      <c r="AA487" s="142">
        <f t="shared" si="390"/>
        <v>0</v>
      </c>
      <c r="AB487" s="245" t="str">
        <f>IF(AA487="","",IF(SUM(AA487-ref!E$38)&gt;0,0,IF(AA487=0, "0:00", SUM(AA487-ref!E$38))))</f>
        <v>0:00</v>
      </c>
      <c r="AC487" s="29"/>
      <c r="AD487" s="106"/>
      <c r="AE487" s="113" t="s">
        <v>29</v>
      </c>
      <c r="AF487" s="77">
        <f t="shared" si="386"/>
        <v>1</v>
      </c>
      <c r="AG487" s="19"/>
      <c r="AH487" s="178" t="s">
        <v>73</v>
      </c>
      <c r="AI487" s="54" t="s">
        <v>68</v>
      </c>
      <c r="AJ487" s="177" t="s">
        <v>74</v>
      </c>
      <c r="AK487" s="55" cm="1">
        <f t="array" ref="AK487">IF(ISNUMBER(G488),G488-_xlfn.AGGREGATE(14,6,(K$4:K487&lt;G488)*K$4:K487,1),"")</f>
        <v>0.66666666666424135</v>
      </c>
      <c r="AL487" s="20">
        <f>IF(ISNUMBER(AK487),ABS(IF(SUM(AK487-ref!E$9)&gt;0,0,SUM(AK487-ref!E$9))),"")</f>
        <v>0</v>
      </c>
      <c r="AQ487"/>
    </row>
    <row r="488" spans="2:43" x14ac:dyDescent="0.25">
      <c r="B488" s="79" t="s">
        <v>58</v>
      </c>
      <c r="C488" s="88" t="s">
        <v>20</v>
      </c>
      <c r="D488" s="88"/>
      <c r="E488" s="154">
        <f t="shared" si="387"/>
        <v>44169</v>
      </c>
      <c r="F488" s="164" t="s">
        <v>20</v>
      </c>
      <c r="G488" s="155">
        <f t="shared" si="383"/>
        <v>44169.375</v>
      </c>
      <c r="H488" s="29">
        <v>0.375</v>
      </c>
      <c r="I488" s="23">
        <f t="shared" si="388"/>
        <v>4.166666666666663E-2</v>
      </c>
      <c r="J488" s="29">
        <v>0.70833333333333337</v>
      </c>
      <c r="K488" s="60">
        <f t="shared" si="384"/>
        <v>44169.708333333336</v>
      </c>
      <c r="L488" s="21">
        <f>IF(OR(F488="télétravail",F488="férié travaillé",F488="travail"),(J488-H488+IF(H488&gt;J488,1)-I488),INDEX(ref!$E$22:'ref'!$E$37,MATCH(F488,gerald3,0)))</f>
        <v>0.29166666666666674</v>
      </c>
      <c r="M488" s="13">
        <f>IF(SUM(L488-ref!E$8)&lt;0,0,SUM(L488-ref!E$8))</f>
        <v>0</v>
      </c>
      <c r="N488" s="252">
        <f>L488-(hs!D487+hs!F487+hs!H487+hs!J487)</f>
        <v>-4.166666666666663E-2</v>
      </c>
      <c r="O488" s="8">
        <f>IF(OR(F488="férié travaillé",F488="travail",F488="asa",F488="rtt"),J488-H488+IF(H488&gt;J488,1),INDEX(ref!$E$22:'ref'!$E$37,MATCH(F488,gerald2,0)))</f>
        <v>0.33333333333333337</v>
      </c>
      <c r="P488" s="14">
        <f>IF(SUM(O488-ref!E$4)&lt;0,0,SUM(O488-ref!E$4))</f>
        <v>0</v>
      </c>
      <c r="Q488" s="97">
        <f t="shared" si="389"/>
        <v>1.166666666666667</v>
      </c>
      <c r="S488" s="137"/>
      <c r="T488" s="92">
        <v>0.52083333333333337</v>
      </c>
      <c r="U488" s="129">
        <v>0.5625</v>
      </c>
      <c r="V488" s="142">
        <f t="shared" si="385"/>
        <v>4.166666666666663E-2</v>
      </c>
      <c r="W488" s="141">
        <f>IF(V488="","",IF(SUM(V488-ref!E$38)&gt;0,0,IF(V488=0, "0:00", SUM(V488-ref!E$38))))</f>
        <v>0</v>
      </c>
      <c r="X488" s="137"/>
      <c r="Y488" s="92"/>
      <c r="Z488" s="247"/>
      <c r="AA488" s="142">
        <f t="shared" si="390"/>
        <v>0</v>
      </c>
      <c r="AB488" s="245" t="str">
        <f>IF(AA488="","",IF(SUM(AA488-ref!E$38)&gt;0,0,IF(AA488=0, "0:00", SUM(AA488-ref!E$38))))</f>
        <v>0:00</v>
      </c>
      <c r="AC488" s="29"/>
      <c r="AD488" s="106"/>
      <c r="AE488" s="114">
        <f>Q491</f>
        <v>1.4583333333333337</v>
      </c>
      <c r="AF488" s="77">
        <f t="shared" si="386"/>
        <v>1</v>
      </c>
      <c r="AG488" s="19"/>
      <c r="AH488" s="178" t="s">
        <v>74</v>
      </c>
      <c r="AI488" s="54" t="s">
        <v>68</v>
      </c>
      <c r="AJ488" s="177" t="s">
        <v>75</v>
      </c>
      <c r="AK488" s="55" cm="1">
        <f t="array" ref="AK488">IF(ISNUMBER(G489),G489-_xlfn.AGGREGATE(14,6,(K$4:K488&lt;G489)*K$4:K488,1),"")</f>
        <v>0.66666666666424135</v>
      </c>
      <c r="AL488" s="20">
        <f>IF(ISNUMBER(AK488),ABS(IF(SUM(AK488-ref!E$9)&gt;0,0,SUM(AK488-ref!E$9))),"")</f>
        <v>0</v>
      </c>
      <c r="AQ488"/>
    </row>
    <row r="489" spans="2:43" x14ac:dyDescent="0.25">
      <c r="B489" s="81">
        <v>12</v>
      </c>
      <c r="C489" s="88" t="s">
        <v>20</v>
      </c>
      <c r="D489" s="88"/>
      <c r="E489" s="154">
        <f t="shared" si="387"/>
        <v>44170</v>
      </c>
      <c r="F489" s="164" t="s">
        <v>20</v>
      </c>
      <c r="G489" s="155">
        <f t="shared" si="383"/>
        <v>44170.375</v>
      </c>
      <c r="H489" s="29">
        <v>0.375</v>
      </c>
      <c r="I489" s="23">
        <f t="shared" si="388"/>
        <v>4.166666666666663E-2</v>
      </c>
      <c r="J489" s="29">
        <v>0.70833333333333337</v>
      </c>
      <c r="K489" s="60">
        <f t="shared" si="384"/>
        <v>44170.708333333336</v>
      </c>
      <c r="L489" s="21">
        <f>IF(OR(F489="télétravail",F489="férié travaillé",F489="travail"),(J489-H489+IF(H489&gt;J489,1)-I489),INDEX(ref!$E$22:'ref'!$E$37,MATCH(F489,gerald3,0)))</f>
        <v>0.29166666666666674</v>
      </c>
      <c r="M489" s="13">
        <f>IF(SUM(L489-ref!E$8)&lt;0,0,SUM(L489-ref!E$8))</f>
        <v>0</v>
      </c>
      <c r="N489" s="252">
        <f>L489-(hs!D488+hs!F488+hs!H488+hs!J488)</f>
        <v>-4.166666666666663E-2</v>
      </c>
      <c r="O489" s="8">
        <f>IF(OR(F489="férié travaillé",F489="travail",F489="asa",F489="rtt"),J489-H489+IF(H489&gt;J489,1),INDEX(ref!$E$22:'ref'!$E$37,MATCH(F489,gerald2,0)))</f>
        <v>0.33333333333333337</v>
      </c>
      <c r="P489" s="14">
        <f>IF(SUM(O489-ref!E$4)&lt;0,0,SUM(O489-ref!E$4))</f>
        <v>0</v>
      </c>
      <c r="Q489" s="24">
        <f t="shared" si="389"/>
        <v>1.4583333333333337</v>
      </c>
      <c r="S489" s="137"/>
      <c r="T489" s="92">
        <v>0.52083333333333337</v>
      </c>
      <c r="U489" s="129">
        <v>0.5625</v>
      </c>
      <c r="V489" s="142">
        <f t="shared" si="385"/>
        <v>4.166666666666663E-2</v>
      </c>
      <c r="W489" s="141">
        <f>IF(V489="","",IF(SUM(V489-ref!E$38)&gt;0,0,IF(V489=0, "0:00", SUM(V489-ref!E$38))))</f>
        <v>0</v>
      </c>
      <c r="X489" s="137"/>
      <c r="Y489" s="92"/>
      <c r="Z489" s="247"/>
      <c r="AA489" s="142">
        <f t="shared" si="390"/>
        <v>0</v>
      </c>
      <c r="AB489" s="245" t="str">
        <f>IF(AA489="","",IF(SUM(AA489-ref!E$38)&gt;0,0,IF(AA489=0, "0:00", SUM(AA489-ref!E$38))))</f>
        <v>0:00</v>
      </c>
      <c r="AC489" s="29"/>
      <c r="AD489" s="106"/>
      <c r="AE489" s="117" t="s">
        <v>47</v>
      </c>
      <c r="AF489" s="77">
        <f t="shared" si="386"/>
        <v>1</v>
      </c>
      <c r="AG489" s="19"/>
      <c r="AH489" s="178" t="s">
        <v>75</v>
      </c>
      <c r="AI489" s="54" t="s">
        <v>68</v>
      </c>
      <c r="AJ489" s="177" t="s">
        <v>76</v>
      </c>
      <c r="AK489" s="55" t="str" cm="1">
        <f t="array" ref="AK489">IF(ISNUMBER(G490),G490-_xlfn.AGGREGATE(14,6,(K$4:K489&lt;G490)*K$4:K489,1),"")</f>
        <v/>
      </c>
      <c r="AL489" s="20" t="str">
        <f>IF(ISNUMBER(AK489),ABS(IF(SUM(AK489-ref!E$9)&gt;0,0,SUM(AK489-ref!E$9))),"")</f>
        <v/>
      </c>
      <c r="AQ489"/>
    </row>
    <row r="490" spans="2:43" ht="15.75" thickBot="1" x14ac:dyDescent="0.3">
      <c r="B490"/>
      <c r="C490" s="89"/>
      <c r="D490" s="89"/>
      <c r="E490" s="154">
        <f t="shared" si="387"/>
        <v>44171</v>
      </c>
      <c r="F490" s="164" t="s">
        <v>19</v>
      </c>
      <c r="G490" s="155" t="str">
        <f t="shared" si="383"/>
        <v/>
      </c>
      <c r="H490" s="29"/>
      <c r="I490" s="23">
        <f t="shared" si="388"/>
        <v>0</v>
      </c>
      <c r="J490" s="29"/>
      <c r="K490" s="60" t="str">
        <f t="shared" si="384"/>
        <v/>
      </c>
      <c r="L490" s="21">
        <f>IF(OR(F490="télétravail",F490="férié travaillé",F490="travail"),(J490-H490+IF(H490&gt;J490,1)-I490),INDEX(ref!$E$22:'ref'!$E$37,MATCH(F490,gerald3,0)))</f>
        <v>0</v>
      </c>
      <c r="M490" s="13">
        <f>IF(SUM(L490-ref!E$8)&lt;0,0,SUM(L490-ref!E$8))</f>
        <v>0</v>
      </c>
      <c r="N490" s="252">
        <f>L490-(hs!D489+hs!F489+hs!H489+hs!J489)</f>
        <v>0</v>
      </c>
      <c r="O490" s="8">
        <f>IF(OR(F490="férié travaillé",F490="travail",F490="asa",F490="rtt"),J490-H490+IF(H490&gt;J490,1),INDEX(ref!$E$22:'ref'!$E$37,MATCH(F490,gerald2,0)))</f>
        <v>0</v>
      </c>
      <c r="P490" s="14">
        <f>IF(SUM(O490-ref!E$4)&lt;0,0,SUM(O490-ref!E$4))</f>
        <v>0</v>
      </c>
      <c r="Q490" s="97">
        <f t="shared" si="389"/>
        <v>1.4583333333333337</v>
      </c>
      <c r="S490" s="137"/>
      <c r="T490" s="92"/>
      <c r="U490" s="129"/>
      <c r="V490" s="142">
        <f t="shared" si="385"/>
        <v>0</v>
      </c>
      <c r="W490" s="141" t="str">
        <f>IF(V490="","",IF(SUM(V490-ref!E$38)&gt;0,0,IF(V490=0, "0:00", SUM(V490-ref!E$38))))</f>
        <v>0:00</v>
      </c>
      <c r="X490" s="137"/>
      <c r="Y490" s="92"/>
      <c r="Z490" s="247"/>
      <c r="AA490" s="142">
        <f t="shared" si="390"/>
        <v>0</v>
      </c>
      <c r="AB490" s="245" t="str">
        <f>IF(AA490="","",IF(SUM(AA490-ref!E$38)&gt;0,0,IF(AA490=0, "0:00", SUM(AA490-ref!E$38))))</f>
        <v>0:00</v>
      </c>
      <c r="AC490" s="29"/>
      <c r="AD490" s="106"/>
      <c r="AE490" s="118">
        <f>ref!E$11</f>
        <v>2</v>
      </c>
      <c r="AF490" s="77">
        <f t="shared" si="386"/>
        <v>0</v>
      </c>
      <c r="AG490" s="19"/>
      <c r="AH490" s="178" t="s">
        <v>76</v>
      </c>
      <c r="AI490" s="54" t="s">
        <v>68</v>
      </c>
      <c r="AJ490" s="177" t="s">
        <v>77</v>
      </c>
      <c r="AK490" s="55" t="str" cm="1">
        <f t="array" ref="AK490">IF(ISNUMBER(G491),G491-_xlfn.AGGREGATE(14,6,(K$4:K490&lt;G491)*K$4:K490,1),"")</f>
        <v/>
      </c>
      <c r="AL490" s="20" t="str">
        <f>IF(ISNUMBER(AK490),ABS(IF(SUM(AK490-ref!E$9)&gt;0,0,SUM(AK490-ref!E$9))),"")</f>
        <v/>
      </c>
      <c r="AQ490"/>
    </row>
    <row r="491" spans="2:43" ht="15.75" thickBot="1" x14ac:dyDescent="0.3">
      <c r="B491"/>
      <c r="C491" s="89"/>
      <c r="D491" s="89"/>
      <c r="E491" s="154">
        <f t="shared" si="387"/>
        <v>44172</v>
      </c>
      <c r="F491" s="165" t="s">
        <v>19</v>
      </c>
      <c r="G491" s="155" t="str">
        <f t="shared" si="383"/>
        <v/>
      </c>
      <c r="H491" s="29"/>
      <c r="I491" s="23">
        <f t="shared" si="388"/>
        <v>0</v>
      </c>
      <c r="J491" s="29"/>
      <c r="K491" s="60" t="str">
        <f t="shared" si="384"/>
        <v/>
      </c>
      <c r="L491" s="21">
        <f>IF(OR(F491="télétravail",F491="férié travaillé",F491="travail"),(J491-H491+IF(H491&gt;J491,1)-I491),INDEX(ref!$E$22:'ref'!$E$37,MATCH(F491,gerald3,0)))</f>
        <v>0</v>
      </c>
      <c r="M491" s="13">
        <f>IF(SUM(L491-ref!E$8)&lt;0,0,SUM(L491-ref!E$8))</f>
        <v>0</v>
      </c>
      <c r="N491" s="252">
        <f>L491-(hs!D490+hs!F490+hs!H490+hs!J490)</f>
        <v>0</v>
      </c>
      <c r="O491" s="8">
        <f>IF(OR(F491="férié travaillé",F491="travail",F491="asa",F491="rtt"),J491-H491+IF(H491&gt;J491,1),INDEX(ref!$E$22:'ref'!$E$37,MATCH(F491,gerald2,0)))</f>
        <v>0</v>
      </c>
      <c r="P491" s="14">
        <f>IF(SUM(O491-ref!E$4)&lt;0,0,SUM(O491-ref!E$4))</f>
        <v>0</v>
      </c>
      <c r="Q491" s="94">
        <f t="shared" si="389"/>
        <v>1.4583333333333337</v>
      </c>
      <c r="S491" s="138"/>
      <c r="T491" s="92"/>
      <c r="U491" s="129"/>
      <c r="V491" s="142">
        <f t="shared" si="385"/>
        <v>0</v>
      </c>
      <c r="W491" s="141" t="str">
        <f>IF(V491="","",IF(SUM(V491-ref!E$38)&gt;0,0,IF(V491=0, "0:00", SUM(V491-ref!E$38))))</f>
        <v>0:00</v>
      </c>
      <c r="X491" s="138"/>
      <c r="Y491" s="92"/>
      <c r="Z491" s="247"/>
      <c r="AA491" s="142">
        <f t="shared" si="390"/>
        <v>0</v>
      </c>
      <c r="AB491" s="246" t="str">
        <f>IF(AA491="","",IF(SUM(AA491-ref!E$38)&gt;0,0,IF(AA491=0, "0:00", SUM(AA491-ref!E$38))))</f>
        <v>0:00</v>
      </c>
      <c r="AC491" s="29"/>
      <c r="AD491" s="106"/>
      <c r="AE491" s="110">
        <f>IF(SUM(Q491-ref!E$11)&lt;0,0,SUM(Q491-ref!E$11))</f>
        <v>0</v>
      </c>
      <c r="AF491" s="77">
        <f t="shared" si="386"/>
        <v>0</v>
      </c>
      <c r="AG491" s="19"/>
      <c r="AQ491"/>
    </row>
    <row r="492" spans="2:43" x14ac:dyDescent="0.25">
      <c r="C492" s="89"/>
      <c r="D492" s="89"/>
      <c r="W492" s="74"/>
      <c r="X492" s="2"/>
      <c r="Z492"/>
      <c r="AA492" s="2"/>
      <c r="AB492" s="2"/>
      <c r="AC492" s="127"/>
      <c r="AJ492" s="2"/>
    </row>
    <row r="493" spans="2:43" x14ac:dyDescent="0.25">
      <c r="C493" s="89"/>
      <c r="D493" s="89"/>
      <c r="X493" s="2"/>
      <c r="Z493"/>
      <c r="AA493" s="2"/>
      <c r="AB493" s="2"/>
      <c r="AC493" s="127"/>
      <c r="AJ493" s="2"/>
    </row>
    <row r="494" spans="2:43" ht="15.75" thickBot="1" x14ac:dyDescent="0.3">
      <c r="C494" s="89"/>
      <c r="D494" s="89"/>
      <c r="W494" s="74"/>
      <c r="X494" s="2"/>
      <c r="Z494"/>
      <c r="AA494" s="2"/>
      <c r="AB494" s="2"/>
      <c r="AC494" s="127"/>
    </row>
    <row r="495" spans="2:43" x14ac:dyDescent="0.25">
      <c r="B495" s="78" t="s">
        <v>1</v>
      </c>
      <c r="C495" s="88" t="s">
        <v>20</v>
      </c>
      <c r="D495" s="88"/>
      <c r="E495" s="154">
        <f>DATE(ref!E$2,B499,B497)</f>
        <v>44173</v>
      </c>
      <c r="F495" s="163" t="s">
        <v>20</v>
      </c>
      <c r="G495" s="155">
        <f t="shared" ref="G495:G501" si="391">IF(AND(J495="",H495=""),"",E495+H495)</f>
        <v>44173.375</v>
      </c>
      <c r="H495" s="29">
        <v>0.375</v>
      </c>
      <c r="I495" s="23">
        <f>SUM(V495+AA495+AC495)</f>
        <v>4.166666666666663E-2</v>
      </c>
      <c r="J495" s="29">
        <v>0.70833333333333337</v>
      </c>
      <c r="K495" s="46">
        <f t="shared" ref="K495:K501" si="392">IF(AND(H495="",J495=""),"",E495+J495+(H495&gt;J495))</f>
        <v>44173.708333333336</v>
      </c>
      <c r="L495" s="21">
        <f>IF(OR(F495="télétravail",F495="férié travaillé",F495="travail"),(J495-H495+IF(H495&gt;J495,1)-I495),INDEX(ref!$E$22:'ref'!$E$37,MATCH(F495,gerald3,0)))</f>
        <v>0.29166666666666674</v>
      </c>
      <c r="M495" s="13">
        <f>IF(SUM(L495-ref!E$8)&lt;0,0,SUM(L495-ref!E$8))</f>
        <v>0</v>
      </c>
      <c r="N495" s="252">
        <f>L495-(hs!D494+hs!F494+hs!H494+hs!J494)</f>
        <v>-4.166666666666663E-2</v>
      </c>
      <c r="O495" s="8">
        <f>IF(OR(F495="férié travaillé",F495="travail",F495="asa",F495="rtt"),J495-H495+IF(H495&gt;J495,1),INDEX(ref!$E$22:'ref'!$E$37,MATCH(F495,gerald2,0)))</f>
        <v>0.33333333333333337</v>
      </c>
      <c r="P495" s="14">
        <f>IF(SUM(O495-ref!E$4)&lt;0,0,SUM(O495-ref!E$4))</f>
        <v>0</v>
      </c>
      <c r="Q495" s="166">
        <f>L495</f>
        <v>0.29166666666666674</v>
      </c>
      <c r="S495" s="136"/>
      <c r="T495" s="92">
        <v>0.52083333333333337</v>
      </c>
      <c r="U495" s="129">
        <v>0.5625</v>
      </c>
      <c r="V495" s="142">
        <f t="shared" ref="V495:V501" si="393">U495-T495</f>
        <v>4.166666666666663E-2</v>
      </c>
      <c r="W495" s="141">
        <f>IF(V495="","",IF(SUM(V495-ref!E$38)&gt;0,0,IF(V495=0, "0:00", SUM(V495-ref!E$38))))</f>
        <v>0</v>
      </c>
      <c r="X495" s="136"/>
      <c r="Y495" s="92"/>
      <c r="Z495" s="247"/>
      <c r="AA495" s="142">
        <f>Z495-Y495</f>
        <v>0</v>
      </c>
      <c r="AB495" s="244" t="str">
        <f>IF(AA495="","",IF(SUM(AA495-ref!E$38)&gt;0,0,IF(AA495=0, "0:00", SUM(AA495-ref!E$38))))</f>
        <v>0:00</v>
      </c>
      <c r="AC495" s="29"/>
      <c r="AD495" s="106"/>
      <c r="AE495" s="111">
        <f>SUM(AF495:AF501)</f>
        <v>5</v>
      </c>
      <c r="AF495" s="77">
        <f t="shared" ref="AF495:AF501" si="394">IF(AND(H495&lt;&gt;"",J495&lt;&gt;""),1,0+OR(N(J494)&lt;N(H494),F495="récupération",F495="congé 1 jour",F495="congé 1/2 jour ",F495="congé 5h24",F495="arrêt maladie",F495="arrêt travail",F495="férié ",F495="congé parentale",F495="congé de naissance"))</f>
        <v>1</v>
      </c>
      <c r="AG495" s="19"/>
      <c r="AH495" s="176" t="s">
        <v>71</v>
      </c>
      <c r="AI495" s="54" t="s">
        <v>68</v>
      </c>
      <c r="AJ495" s="177" t="s">
        <v>72</v>
      </c>
      <c r="AK495" s="55" cm="1">
        <f t="array" ref="AK495">IF(ISNUMBER(G496),G496-_xlfn.AGGREGATE(14,6,(K$4:K495&lt;G496)*K$4:K495,1),"")</f>
        <v>0.66666666666424135</v>
      </c>
      <c r="AL495" s="20">
        <f>IF(ISNUMBER(AK495),ABS(IF(SUM(AK495-ref!E$9)&gt;0,0,SUM(AK495-ref!E$9))),"")</f>
        <v>0</v>
      </c>
      <c r="AQ495"/>
    </row>
    <row r="496" spans="2:43" x14ac:dyDescent="0.25">
      <c r="B496" s="79" t="s">
        <v>1</v>
      </c>
      <c r="C496" s="88" t="s">
        <v>20</v>
      </c>
      <c r="D496" s="88"/>
      <c r="E496" s="154">
        <f t="shared" ref="E496:E501" si="395">E495+1</f>
        <v>44174</v>
      </c>
      <c r="F496" s="164" t="s">
        <v>20</v>
      </c>
      <c r="G496" s="155">
        <f t="shared" si="391"/>
        <v>44174.375</v>
      </c>
      <c r="H496" s="29">
        <v>0.375</v>
      </c>
      <c r="I496" s="23">
        <f t="shared" ref="I496:I501" si="396">SUM(V496+AA496+AC496)</f>
        <v>4.166666666666663E-2</v>
      </c>
      <c r="J496" s="29">
        <v>0.70833333333333337</v>
      </c>
      <c r="K496" s="46">
        <f t="shared" si="392"/>
        <v>44174.708333333336</v>
      </c>
      <c r="L496" s="21">
        <f>IF(OR(F496="télétravail",F496="férié travaillé",F496="travail"),(J496-H496+IF(H496&gt;J496,1)-I496),INDEX(ref!$E$22:'ref'!$E$37,MATCH(F496,gerald3,0)))</f>
        <v>0.29166666666666674</v>
      </c>
      <c r="M496" s="13">
        <f>IF(SUM(L496-ref!E$8)&lt;0,0,SUM(L496-ref!E$8))</f>
        <v>0</v>
      </c>
      <c r="N496" s="252">
        <f>L496-(hs!D495+hs!F495+hs!H495+hs!J495)</f>
        <v>-4.166666666666663E-2</v>
      </c>
      <c r="O496" s="8">
        <f>IF(OR(F496="férié travaillé",F496="travail",F496="asa",F496="rtt"),J496-H496+IF(H496&gt;J496,1),INDEX(ref!$E$22:'ref'!$E$37,MATCH(F496,gerald2,0)))</f>
        <v>0.33333333333333337</v>
      </c>
      <c r="P496" s="14">
        <f>IF(SUM(O496-ref!E$4)&lt;0,0,SUM(O496-ref!E$4))</f>
        <v>0</v>
      </c>
      <c r="Q496" s="98">
        <f t="shared" ref="Q496:Q501" si="397">Q495+L496</f>
        <v>0.58333333333333348</v>
      </c>
      <c r="S496" s="137"/>
      <c r="T496" s="92">
        <v>0.52083333333333337</v>
      </c>
      <c r="U496" s="129">
        <v>0.5625</v>
      </c>
      <c r="V496" s="142">
        <f t="shared" si="393"/>
        <v>4.166666666666663E-2</v>
      </c>
      <c r="W496" s="141">
        <f>IF(V496="","",IF(SUM(V496-ref!E$38)&gt;0,0,IF(V496=0, "0:00", SUM(V496-ref!E$38))))</f>
        <v>0</v>
      </c>
      <c r="X496" s="137"/>
      <c r="Y496" s="92"/>
      <c r="Z496" s="247"/>
      <c r="AA496" s="142">
        <f t="shared" ref="AA496:AA501" si="398">Z496-Y496</f>
        <v>0</v>
      </c>
      <c r="AB496" s="245" t="str">
        <f>IF(AA496="","",IF(SUM(AA496-ref!E$38)&gt;0,0,IF(AA496=0, "0:00", SUM(AA496-ref!E$38))))</f>
        <v>0:00</v>
      </c>
      <c r="AC496" s="29"/>
      <c r="AD496" s="106"/>
      <c r="AE496" s="112">
        <f>IF(SUM(AE495-ref!E$7)&lt;0,0,SUM(AE495-ref!E$7))</f>
        <v>0</v>
      </c>
      <c r="AF496" s="77">
        <f t="shared" si="394"/>
        <v>1</v>
      </c>
      <c r="AG496" s="19"/>
      <c r="AH496" s="178" t="s">
        <v>72</v>
      </c>
      <c r="AI496" s="54" t="s">
        <v>68</v>
      </c>
      <c r="AJ496" s="177" t="s">
        <v>73</v>
      </c>
      <c r="AK496" s="55" cm="1">
        <f t="array" ref="AK496">IF(ISNUMBER(G497),G497-_xlfn.AGGREGATE(14,6,(K$4:K496&lt;G497)*K$4:K496,1),"")</f>
        <v>0.66666666666424135</v>
      </c>
      <c r="AL496" s="20">
        <f>IF(ISNUMBER(AK496),ABS(IF(SUM(AK496-ref!E$9)&gt;0,0,SUM(AK496-ref!E$9))),"")</f>
        <v>0</v>
      </c>
      <c r="AQ496"/>
    </row>
    <row r="497" spans="2:43" x14ac:dyDescent="0.25">
      <c r="B497" s="80">
        <v>9</v>
      </c>
      <c r="C497" s="88" t="s">
        <v>20</v>
      </c>
      <c r="D497" s="88"/>
      <c r="E497" s="154">
        <f t="shared" si="395"/>
        <v>44175</v>
      </c>
      <c r="F497" s="164" t="s">
        <v>20</v>
      </c>
      <c r="G497" s="155">
        <f t="shared" si="391"/>
        <v>44175.375</v>
      </c>
      <c r="H497" s="29">
        <v>0.375</v>
      </c>
      <c r="I497" s="23">
        <f t="shared" si="396"/>
        <v>4.166666666666663E-2</v>
      </c>
      <c r="J497" s="29">
        <v>0.70833333333333337</v>
      </c>
      <c r="K497" s="46">
        <f t="shared" si="392"/>
        <v>44175.708333333336</v>
      </c>
      <c r="L497" s="21">
        <f>IF(OR(F497="télétravail",F497="férié travaillé",F497="travail"),(J497-H497+IF(H497&gt;J497,1)-I497),INDEX(ref!$E$22:'ref'!$E$37,MATCH(F497,gerald3,0)))</f>
        <v>0.29166666666666674</v>
      </c>
      <c r="M497" s="13">
        <f>IF(SUM(L497-ref!E$8)&lt;0,0,SUM(L497-ref!E$8))</f>
        <v>0</v>
      </c>
      <c r="N497" s="252">
        <f>L497-(hs!D496+hs!F496+hs!H496+hs!J496)</f>
        <v>-4.166666666666663E-2</v>
      </c>
      <c r="O497" s="8">
        <f>IF(OR(F497="férié travaillé",F497="travail",F497="asa",F497="rtt"),J497-H497+IF(H497&gt;J497,1),INDEX(ref!$E$22:'ref'!$E$37,MATCH(F497,gerald2,0)))</f>
        <v>0.33333333333333337</v>
      </c>
      <c r="P497" s="14">
        <f>IF(SUM(O497-ref!E$4)&lt;0,0,SUM(O497-ref!E$4))</f>
        <v>0</v>
      </c>
      <c r="Q497" s="98">
        <f t="shared" si="397"/>
        <v>0.87500000000000022</v>
      </c>
      <c r="S497" s="137"/>
      <c r="T497" s="92">
        <v>0.52083333333333337</v>
      </c>
      <c r="U497" s="129">
        <v>0.5625</v>
      </c>
      <c r="V497" s="142">
        <f t="shared" si="393"/>
        <v>4.166666666666663E-2</v>
      </c>
      <c r="W497" s="141">
        <f>IF(V497="","",IF(SUM(V497-ref!E$38)&gt;0,0,IF(V497=0, "0:00", SUM(V497-ref!E$38))))</f>
        <v>0</v>
      </c>
      <c r="X497" s="137"/>
      <c r="Y497" s="92"/>
      <c r="Z497" s="247"/>
      <c r="AA497" s="142">
        <f t="shared" si="398"/>
        <v>0</v>
      </c>
      <c r="AB497" s="245" t="str">
        <f>IF(AA497="","",IF(SUM(AA497-ref!E$38)&gt;0,0,IF(AA497=0, "0:00", SUM(AA497-ref!E$38))))</f>
        <v>0:00</v>
      </c>
      <c r="AC497" s="29"/>
      <c r="AD497" s="106"/>
      <c r="AE497" s="113" t="s">
        <v>29</v>
      </c>
      <c r="AF497" s="77">
        <f t="shared" si="394"/>
        <v>1</v>
      </c>
      <c r="AG497" s="19"/>
      <c r="AH497" s="178" t="s">
        <v>73</v>
      </c>
      <c r="AI497" s="54" t="s">
        <v>68</v>
      </c>
      <c r="AJ497" s="177" t="s">
        <v>74</v>
      </c>
      <c r="AK497" s="55" cm="1">
        <f t="array" ref="AK497">IF(ISNUMBER(G498),G498-_xlfn.AGGREGATE(14,6,(K$4:K497&lt;G498)*K$4:K497,1),"")</f>
        <v>0.66666666666424135</v>
      </c>
      <c r="AL497" s="20">
        <f>IF(ISNUMBER(AK497),ABS(IF(SUM(AK497-ref!E$9)&gt;0,0,SUM(AK497-ref!E$9))),"")</f>
        <v>0</v>
      </c>
      <c r="AQ497"/>
    </row>
    <row r="498" spans="2:43" x14ac:dyDescent="0.25">
      <c r="B498" s="79" t="s">
        <v>58</v>
      </c>
      <c r="C498" s="88" t="s">
        <v>20</v>
      </c>
      <c r="D498" s="88"/>
      <c r="E498" s="154">
        <f t="shared" si="395"/>
        <v>44176</v>
      </c>
      <c r="F498" s="164" t="s">
        <v>20</v>
      </c>
      <c r="G498" s="155">
        <f t="shared" si="391"/>
        <v>44176.375</v>
      </c>
      <c r="H498" s="29">
        <v>0.375</v>
      </c>
      <c r="I498" s="23">
        <f t="shared" si="396"/>
        <v>4.166666666666663E-2</v>
      </c>
      <c r="J498" s="29">
        <v>0.70833333333333337</v>
      </c>
      <c r="K498" s="46">
        <f t="shared" si="392"/>
        <v>44176.708333333336</v>
      </c>
      <c r="L498" s="21">
        <f>IF(OR(F498="télétravail",F498="férié travaillé",F498="travail"),(J498-H498+IF(H498&gt;J498,1)-I498),INDEX(ref!$E$22:'ref'!$E$37,MATCH(F498,gerald3,0)))</f>
        <v>0.29166666666666674</v>
      </c>
      <c r="M498" s="13">
        <f>IF(SUM(L498-ref!E$8)&lt;0,0,SUM(L498-ref!E$8))</f>
        <v>0</v>
      </c>
      <c r="N498" s="252">
        <f>L498-(hs!D497+hs!F497+hs!H497+hs!J497)</f>
        <v>-4.166666666666663E-2</v>
      </c>
      <c r="O498" s="8">
        <f>IF(OR(F498="férié travaillé",F498="travail",F498="asa",F498="rtt"),J498-H498+IF(H498&gt;J498,1),INDEX(ref!$E$22:'ref'!$E$37,MATCH(F498,gerald2,0)))</f>
        <v>0.33333333333333337</v>
      </c>
      <c r="P498" s="14">
        <f>IF(SUM(O498-ref!E$4)&lt;0,0,SUM(O498-ref!E$4))</f>
        <v>0</v>
      </c>
      <c r="Q498" s="97">
        <f t="shared" si="397"/>
        <v>1.166666666666667</v>
      </c>
      <c r="S498" s="137"/>
      <c r="T498" s="92">
        <v>0.52083333333333337</v>
      </c>
      <c r="U498" s="129">
        <v>0.5625</v>
      </c>
      <c r="V498" s="142">
        <f t="shared" si="393"/>
        <v>4.166666666666663E-2</v>
      </c>
      <c r="W498" s="141">
        <f>IF(V498="","",IF(SUM(V498-ref!E$38)&gt;0,0,IF(V498=0, "0:00", SUM(V498-ref!E$38))))</f>
        <v>0</v>
      </c>
      <c r="X498" s="137"/>
      <c r="Y498" s="92"/>
      <c r="Z498" s="247"/>
      <c r="AA498" s="142">
        <f t="shared" si="398"/>
        <v>0</v>
      </c>
      <c r="AB498" s="245" t="str">
        <f>IF(AA498="","",IF(SUM(AA498-ref!E$38)&gt;0,0,IF(AA498=0, "0:00", SUM(AA498-ref!E$38))))</f>
        <v>0:00</v>
      </c>
      <c r="AC498" s="29"/>
      <c r="AD498" s="106"/>
      <c r="AE498" s="114">
        <f>Q501</f>
        <v>1.4583333333333337</v>
      </c>
      <c r="AF498" s="77">
        <f t="shared" si="394"/>
        <v>1</v>
      </c>
      <c r="AG498" s="19"/>
      <c r="AH498" s="178" t="s">
        <v>74</v>
      </c>
      <c r="AI498" s="54" t="s">
        <v>68</v>
      </c>
      <c r="AJ498" s="177" t="s">
        <v>75</v>
      </c>
      <c r="AK498" s="55" cm="1">
        <f t="array" ref="AK498">IF(ISNUMBER(G499),G499-_xlfn.AGGREGATE(14,6,(K$4:K498&lt;G499)*K$4:K498,1),"")</f>
        <v>0.66666666666424135</v>
      </c>
      <c r="AL498" s="20">
        <f>IF(ISNUMBER(AK498),ABS(IF(SUM(AK498-ref!E$9)&gt;0,0,SUM(AK498-ref!E$9))),"")</f>
        <v>0</v>
      </c>
      <c r="AQ498"/>
    </row>
    <row r="499" spans="2:43" x14ac:dyDescent="0.25">
      <c r="B499" s="81">
        <v>12</v>
      </c>
      <c r="C499" s="88" t="s">
        <v>20</v>
      </c>
      <c r="D499" s="88"/>
      <c r="E499" s="154">
        <f t="shared" si="395"/>
        <v>44177</v>
      </c>
      <c r="F499" s="164" t="s">
        <v>20</v>
      </c>
      <c r="G499" s="155">
        <f t="shared" si="391"/>
        <v>44177.375</v>
      </c>
      <c r="H499" s="29">
        <v>0.375</v>
      </c>
      <c r="I499" s="23">
        <f t="shared" si="396"/>
        <v>4.166666666666663E-2</v>
      </c>
      <c r="J499" s="29">
        <v>0.70833333333333337</v>
      </c>
      <c r="K499" s="46">
        <f t="shared" si="392"/>
        <v>44177.708333333336</v>
      </c>
      <c r="L499" s="21">
        <f>IF(OR(F499="télétravail",F499="férié travaillé",F499="travail"),(J499-H499+IF(H499&gt;J499,1)-I499),INDEX(ref!$E$22:'ref'!$E$37,MATCH(F499,gerald3,0)))</f>
        <v>0.29166666666666674</v>
      </c>
      <c r="M499" s="13">
        <f>IF(SUM(L499-ref!E$8)&lt;0,0,SUM(L499-ref!E$8))</f>
        <v>0</v>
      </c>
      <c r="N499" s="252">
        <f>L499-(hs!D498+hs!F498+hs!H498+hs!J498)</f>
        <v>-4.166666666666663E-2</v>
      </c>
      <c r="O499" s="8">
        <f>IF(OR(F499="férié travaillé",F499="travail",F499="asa",F499="rtt"),J499-H499+IF(H499&gt;J499,1),INDEX(ref!$E$22:'ref'!$E$37,MATCH(F499,gerald2,0)))</f>
        <v>0.33333333333333337</v>
      </c>
      <c r="P499" s="14">
        <f>IF(SUM(O499-ref!E$4)&lt;0,0,SUM(O499-ref!E$4))</f>
        <v>0</v>
      </c>
      <c r="Q499" s="24">
        <f t="shared" si="397"/>
        <v>1.4583333333333337</v>
      </c>
      <c r="S499" s="137"/>
      <c r="T499" s="92">
        <v>0.52083333333333337</v>
      </c>
      <c r="U499" s="129">
        <v>0.5625</v>
      </c>
      <c r="V499" s="142">
        <f t="shared" si="393"/>
        <v>4.166666666666663E-2</v>
      </c>
      <c r="W499" s="141">
        <f>IF(V499="","",IF(SUM(V499-ref!E$38)&gt;0,0,IF(V499=0, "0:00", SUM(V499-ref!E$38))))</f>
        <v>0</v>
      </c>
      <c r="X499" s="137"/>
      <c r="Y499" s="92"/>
      <c r="Z499" s="247"/>
      <c r="AA499" s="142">
        <f t="shared" si="398"/>
        <v>0</v>
      </c>
      <c r="AB499" s="245" t="str">
        <f>IF(AA499="","",IF(SUM(AA499-ref!E$38)&gt;0,0,IF(AA499=0, "0:00", SUM(AA499-ref!E$38))))</f>
        <v>0:00</v>
      </c>
      <c r="AC499" s="29"/>
      <c r="AD499" s="106"/>
      <c r="AE499" s="117" t="s">
        <v>47</v>
      </c>
      <c r="AF499" s="77">
        <f t="shared" si="394"/>
        <v>1</v>
      </c>
      <c r="AG499" s="19"/>
      <c r="AH499" s="178" t="s">
        <v>75</v>
      </c>
      <c r="AI499" s="54" t="s">
        <v>68</v>
      </c>
      <c r="AJ499" s="177" t="s">
        <v>76</v>
      </c>
      <c r="AK499" s="55" t="str" cm="1">
        <f t="array" ref="AK499">IF(ISNUMBER(G500),G500-_xlfn.AGGREGATE(14,6,(K$4:K499&lt;G500)*K$4:K499,1),"")</f>
        <v/>
      </c>
      <c r="AL499" s="20" t="str">
        <f>IF(ISNUMBER(AK499),ABS(IF(SUM(AK499-ref!E$9)&gt;0,0,SUM(AK499-ref!E$9))),"")</f>
        <v/>
      </c>
      <c r="AQ499"/>
    </row>
    <row r="500" spans="2:43" ht="15.75" thickBot="1" x14ac:dyDescent="0.3">
      <c r="B500"/>
      <c r="C500" s="89"/>
      <c r="D500" s="89"/>
      <c r="E500" s="154">
        <f t="shared" si="395"/>
        <v>44178</v>
      </c>
      <c r="F500" s="164" t="s">
        <v>19</v>
      </c>
      <c r="G500" s="155" t="str">
        <f t="shared" si="391"/>
        <v/>
      </c>
      <c r="H500" s="29"/>
      <c r="I500" s="23">
        <f t="shared" si="396"/>
        <v>0</v>
      </c>
      <c r="J500" s="29"/>
      <c r="K500" s="46" t="str">
        <f t="shared" si="392"/>
        <v/>
      </c>
      <c r="L500" s="21">
        <f>IF(OR(F500="télétravail",F500="férié travaillé",F500="travail"),(J500-H500+IF(H500&gt;J500,1)-I500),INDEX(ref!$E$22:'ref'!$E$37,MATCH(F500,gerald3,0)))</f>
        <v>0</v>
      </c>
      <c r="M500" s="13">
        <f>IF(SUM(L500-ref!E$8)&lt;0,0,SUM(L500-ref!E$8))</f>
        <v>0</v>
      </c>
      <c r="N500" s="252">
        <f>L500-(hs!D499+hs!F499+hs!H499+hs!J499)</f>
        <v>0</v>
      </c>
      <c r="O500" s="8">
        <f>IF(OR(F500="férié travaillé",F500="travail",F500="asa",F500="rtt"),J500-H500+IF(H500&gt;J500,1),INDEX(ref!$E$22:'ref'!$E$37,MATCH(F500,gerald2,0)))</f>
        <v>0</v>
      </c>
      <c r="P500" s="14">
        <f>IF(SUM(O500-ref!E$4)&lt;0,0,SUM(O500-ref!E$4))</f>
        <v>0</v>
      </c>
      <c r="Q500" s="97">
        <f t="shared" si="397"/>
        <v>1.4583333333333337</v>
      </c>
      <c r="S500" s="137"/>
      <c r="T500" s="92"/>
      <c r="U500" s="129"/>
      <c r="V500" s="142">
        <f t="shared" si="393"/>
        <v>0</v>
      </c>
      <c r="W500" s="141" t="str">
        <f>IF(V500="","",IF(SUM(V500-ref!E$38)&gt;0,0,IF(V500=0, "0:00", SUM(V500-ref!E$38))))</f>
        <v>0:00</v>
      </c>
      <c r="X500" s="137"/>
      <c r="Y500" s="92"/>
      <c r="Z500" s="247"/>
      <c r="AA500" s="142">
        <f t="shared" si="398"/>
        <v>0</v>
      </c>
      <c r="AB500" s="245" t="str">
        <f>IF(AA500="","",IF(SUM(AA500-ref!E$38)&gt;0,0,IF(AA500=0, "0:00", SUM(AA500-ref!E$38))))</f>
        <v>0:00</v>
      </c>
      <c r="AC500" s="29"/>
      <c r="AD500" s="106"/>
      <c r="AE500" s="118">
        <f>ref!E$11</f>
        <v>2</v>
      </c>
      <c r="AF500" s="77">
        <f t="shared" si="394"/>
        <v>0</v>
      </c>
      <c r="AG500" s="19"/>
      <c r="AH500" s="178" t="s">
        <v>76</v>
      </c>
      <c r="AI500" s="54" t="s">
        <v>68</v>
      </c>
      <c r="AJ500" s="177" t="s">
        <v>77</v>
      </c>
      <c r="AK500" s="55" t="str" cm="1">
        <f t="array" ref="AK500">IF(ISNUMBER(G501),G501-_xlfn.AGGREGATE(14,6,(K$4:K500&lt;G501)*K$4:K500,1),"")</f>
        <v/>
      </c>
      <c r="AL500" s="20" t="str">
        <f>IF(ISNUMBER(AK500),ABS(IF(SUM(AK500-ref!E$9)&gt;0,0,SUM(AK500-ref!E$9))),"")</f>
        <v/>
      </c>
      <c r="AQ500"/>
    </row>
    <row r="501" spans="2:43" ht="15.75" thickBot="1" x14ac:dyDescent="0.3">
      <c r="B501"/>
      <c r="C501" s="89"/>
      <c r="D501" s="89"/>
      <c r="E501" s="154">
        <f t="shared" si="395"/>
        <v>44179</v>
      </c>
      <c r="F501" s="165" t="s">
        <v>19</v>
      </c>
      <c r="G501" s="155" t="str">
        <f t="shared" si="391"/>
        <v/>
      </c>
      <c r="H501" s="29"/>
      <c r="I501" s="23">
        <f t="shared" si="396"/>
        <v>0</v>
      </c>
      <c r="J501" s="29"/>
      <c r="K501" s="46" t="str">
        <f t="shared" si="392"/>
        <v/>
      </c>
      <c r="L501" s="21">
        <f>IF(OR(F501="télétravail",F501="férié travaillé",F501="travail"),(J501-H501+IF(H501&gt;J501,1)-I501),INDEX(ref!$E$22:'ref'!$E$37,MATCH(F501,gerald3,0)))</f>
        <v>0</v>
      </c>
      <c r="M501" s="13">
        <f>IF(SUM(L501-ref!E$8)&lt;0,0,SUM(L501-ref!E$8))</f>
        <v>0</v>
      </c>
      <c r="N501" s="252">
        <f>L501-(hs!D500+hs!F500+hs!H500+hs!J500)</f>
        <v>0</v>
      </c>
      <c r="O501" s="8">
        <f>IF(OR(F501="férié travaillé",F501="travail",F501="asa",F501="rtt"),J501-H501+IF(H501&gt;J501,1),INDEX(ref!$E$22:'ref'!$E$37,MATCH(F501,gerald2,0)))</f>
        <v>0</v>
      </c>
      <c r="P501" s="14">
        <f>IF(SUM(O501-ref!E$4)&lt;0,0,SUM(O501-ref!E$4))</f>
        <v>0</v>
      </c>
      <c r="Q501" s="94">
        <f t="shared" si="397"/>
        <v>1.4583333333333337</v>
      </c>
      <c r="S501" s="138"/>
      <c r="T501" s="92"/>
      <c r="U501" s="129"/>
      <c r="V501" s="142">
        <f t="shared" si="393"/>
        <v>0</v>
      </c>
      <c r="W501" s="141" t="str">
        <f>IF(V501="","",IF(SUM(V501-ref!E$38)&gt;0,0,IF(V501=0, "0:00", SUM(V501-ref!E$38))))</f>
        <v>0:00</v>
      </c>
      <c r="X501" s="138"/>
      <c r="Y501" s="92"/>
      <c r="Z501" s="247"/>
      <c r="AA501" s="142">
        <f t="shared" si="398"/>
        <v>0</v>
      </c>
      <c r="AB501" s="246" t="str">
        <f>IF(AA501="","",IF(SUM(AA501-ref!E$38)&gt;0,0,IF(AA501=0, "0:00", SUM(AA501-ref!E$38))))</f>
        <v>0:00</v>
      </c>
      <c r="AC501" s="29"/>
      <c r="AD501" s="106"/>
      <c r="AE501" s="110">
        <f>IF(SUM(Q501-ref!E$11)&lt;0,0,SUM(Q501-ref!E$11))</f>
        <v>0</v>
      </c>
      <c r="AF501" s="77">
        <f t="shared" si="394"/>
        <v>0</v>
      </c>
      <c r="AG501" s="19"/>
      <c r="AQ501"/>
    </row>
    <row r="502" spans="2:43" x14ac:dyDescent="0.25">
      <c r="C502" s="89"/>
      <c r="D502" s="89"/>
      <c r="W502" s="74"/>
      <c r="X502" s="2"/>
      <c r="Z502"/>
      <c r="AA502" s="2"/>
      <c r="AB502" s="2"/>
      <c r="AC502" s="127"/>
      <c r="AQ502"/>
    </row>
    <row r="503" spans="2:43" x14ac:dyDescent="0.25">
      <c r="C503" s="89"/>
      <c r="D503" s="89"/>
      <c r="X503" s="2"/>
      <c r="Z503"/>
      <c r="AA503" s="2"/>
      <c r="AB503" s="2"/>
      <c r="AC503" s="127"/>
      <c r="AJ503" s="2"/>
    </row>
    <row r="504" spans="2:43" ht="15.75" thickBot="1" x14ac:dyDescent="0.3">
      <c r="C504" s="89"/>
      <c r="D504" s="89"/>
      <c r="W504" s="74"/>
      <c r="X504" s="2"/>
      <c r="Z504"/>
      <c r="AA504" s="2"/>
      <c r="AB504" s="2"/>
      <c r="AC504" s="127"/>
      <c r="AJ504" s="2"/>
    </row>
    <row r="505" spans="2:43" x14ac:dyDescent="0.25">
      <c r="B505" s="78" t="s">
        <v>1</v>
      </c>
      <c r="C505" s="88" t="s">
        <v>20</v>
      </c>
      <c r="D505" s="88"/>
      <c r="E505" s="154">
        <f>DATE(ref!E$2,B509,B507)</f>
        <v>44180</v>
      </c>
      <c r="F505" s="163" t="s">
        <v>20</v>
      </c>
      <c r="G505" s="155">
        <f t="shared" ref="G505:G511" si="399">IF(AND(J505="",H505=""),"",E505+H505)</f>
        <v>44180.375</v>
      </c>
      <c r="H505" s="29">
        <v>0.375</v>
      </c>
      <c r="I505" s="23">
        <f>SUM(V505+AA505+AC505)</f>
        <v>4.166666666666663E-2</v>
      </c>
      <c r="J505" s="29">
        <v>0.70833333333333337</v>
      </c>
      <c r="K505" s="46">
        <f t="shared" ref="K505:K511" si="400">IF(AND(H505="",J505=""),"",E505+J505+(H505&gt;J505))</f>
        <v>44180.708333333336</v>
      </c>
      <c r="L505" s="21">
        <f>IF(OR(F505="télétravail",F505="férié travaillé",F505="travail"),(J505-H505+IF(H505&gt;J505,1)-I505),INDEX(ref!$E$22:'ref'!$E$37,MATCH(F505,gerald3,0)))</f>
        <v>0.29166666666666674</v>
      </c>
      <c r="M505" s="13">
        <f>IF(SUM(L505-ref!E$8)&lt;0,0,SUM(L505-ref!E$8))</f>
        <v>0</v>
      </c>
      <c r="N505" s="252">
        <f>L505-(hs!D504+hs!F504+hs!H504+hs!J504)</f>
        <v>-4.166666666666663E-2</v>
      </c>
      <c r="O505" s="8">
        <f>IF(OR(F505="férié travaillé",F505="travail",F505="asa",F505="rtt"),J505-H505+IF(H505&gt;J505,1),INDEX(ref!$E$22:'ref'!$E$37,MATCH(F505,gerald2,0)))</f>
        <v>0.33333333333333337</v>
      </c>
      <c r="P505" s="14">
        <f>IF(SUM(O505-ref!E$4)&lt;0,0,SUM(O505-ref!E$4))</f>
        <v>0</v>
      </c>
      <c r="Q505" s="166">
        <f>L505</f>
        <v>0.29166666666666674</v>
      </c>
      <c r="S505" s="136"/>
      <c r="T505" s="92">
        <v>0.52083333333333337</v>
      </c>
      <c r="U505" s="129">
        <v>0.5625</v>
      </c>
      <c r="V505" s="142">
        <f t="shared" ref="V505:V511" si="401">U505-T505</f>
        <v>4.166666666666663E-2</v>
      </c>
      <c r="W505" s="141">
        <f>IF(V505="","",IF(SUM(V505-ref!E$38)&gt;0,0,IF(V505=0, "0:00", SUM(V505-ref!E$38))))</f>
        <v>0</v>
      </c>
      <c r="X505" s="136"/>
      <c r="Y505" s="92"/>
      <c r="Z505" s="250"/>
      <c r="AA505" s="142">
        <f>Z505-Y505</f>
        <v>0</v>
      </c>
      <c r="AB505" s="244" t="str">
        <f>IF(AA505="","",IF(SUM(AA505-ref!E$38)&gt;0,0,IF(AA505=0, "0:00", SUM(AA505-ref!E$38))))</f>
        <v>0:00</v>
      </c>
      <c r="AC505" s="29"/>
      <c r="AD505" s="106"/>
      <c r="AE505" s="111">
        <f>SUM(AF505:AF511)</f>
        <v>5</v>
      </c>
      <c r="AF505" s="77">
        <f>IF(AND(H505&lt;&gt;"",J505&lt;&gt;""),1,0+OR(N(J502)&lt;N(H502),F505="récupération",F505="congé 1 jour",F505="congé 1/2 jour ",F505="congé 5h24",F505="arrêt maladie",F505="arrêt travail",F505="férié ",F505="congé parentale",F505="congé de naissance"))</f>
        <v>1</v>
      </c>
      <c r="AG505" s="19"/>
      <c r="AH505" s="176" t="s">
        <v>71</v>
      </c>
      <c r="AI505" s="54" t="s">
        <v>68</v>
      </c>
      <c r="AJ505" s="177" t="s">
        <v>72</v>
      </c>
      <c r="AK505" s="55" cm="1">
        <f t="array" ref="AK505">IF(ISNUMBER(G506),G506-_xlfn.AGGREGATE(14,6,(K$4:K505&lt;G506)*K$4:K505,1),"")</f>
        <v>0.66666666666424135</v>
      </c>
      <c r="AL505" s="20">
        <f>IF(ISNUMBER(AK505),ABS(IF(SUM(AK505-ref!E$9)&gt;0,0,SUM(AK505-ref!E$9))),"")</f>
        <v>0</v>
      </c>
      <c r="AQ505"/>
    </row>
    <row r="506" spans="2:43" x14ac:dyDescent="0.25">
      <c r="B506" s="79" t="s">
        <v>1</v>
      </c>
      <c r="C506" s="88" t="s">
        <v>20</v>
      </c>
      <c r="D506" s="88"/>
      <c r="E506" s="154">
        <f t="shared" ref="E506:E511" si="402">E505+1</f>
        <v>44181</v>
      </c>
      <c r="F506" s="164" t="s">
        <v>20</v>
      </c>
      <c r="G506" s="155">
        <f t="shared" si="399"/>
        <v>44181.375</v>
      </c>
      <c r="H506" s="29">
        <v>0.375</v>
      </c>
      <c r="I506" s="23">
        <f t="shared" ref="I506:I511" si="403">SUM(V506+AA506+AC506)</f>
        <v>4.166666666666663E-2</v>
      </c>
      <c r="J506" s="29">
        <v>0.70833333333333337</v>
      </c>
      <c r="K506" s="46">
        <f t="shared" si="400"/>
        <v>44181.708333333336</v>
      </c>
      <c r="L506" s="21">
        <f>IF(OR(F506="télétravail",F506="férié travaillé",F506="travail"),(J506-H506+IF(H506&gt;J506,1)-I506),INDEX(ref!$E$22:'ref'!$E$37,MATCH(F506,gerald3,0)))</f>
        <v>0.29166666666666674</v>
      </c>
      <c r="M506" s="13">
        <f>IF(SUM(L506-ref!E$8)&lt;0,0,SUM(L506-ref!E$8))</f>
        <v>0</v>
      </c>
      <c r="N506" s="252">
        <f>L506-(hs!D505+hs!F505+hs!H505+hs!J505)</f>
        <v>-4.166666666666663E-2</v>
      </c>
      <c r="O506" s="8">
        <f>IF(OR(F506="férié travaillé",F506="travail",F506="asa",F506="rtt"),J506-H506+IF(H506&gt;J506,1),INDEX(ref!$E$22:'ref'!$E$37,MATCH(F506,gerald2,0)))</f>
        <v>0.33333333333333337</v>
      </c>
      <c r="P506" s="14">
        <f>IF(SUM(O506-ref!E$4)&lt;0,0,SUM(O506-ref!E$4))</f>
        <v>0</v>
      </c>
      <c r="Q506" s="98">
        <f t="shared" ref="Q506:Q511" si="404">Q505+L506</f>
        <v>0.58333333333333348</v>
      </c>
      <c r="S506" s="137"/>
      <c r="T506" s="92">
        <v>0.52083333333333337</v>
      </c>
      <c r="U506" s="129">
        <v>0.5625</v>
      </c>
      <c r="V506" s="142">
        <f t="shared" si="401"/>
        <v>4.166666666666663E-2</v>
      </c>
      <c r="W506" s="141">
        <f>IF(V506="","",IF(SUM(V506-ref!E$38)&gt;0,0,IF(V506=0, "0:00", SUM(V506-ref!E$38))))</f>
        <v>0</v>
      </c>
      <c r="X506" s="137"/>
      <c r="Y506" s="92"/>
      <c r="Z506" s="247"/>
      <c r="AA506" s="142">
        <f t="shared" ref="AA506:AA511" si="405">Z506-Y506</f>
        <v>0</v>
      </c>
      <c r="AB506" s="245" t="str">
        <f>IF(AA506="","",IF(SUM(AA506-ref!E$38)&gt;0,0,IF(AA506=0, "0:00", SUM(AA506-ref!E$38))))</f>
        <v>0:00</v>
      </c>
      <c r="AC506" s="29"/>
      <c r="AD506" s="106"/>
      <c r="AE506" s="112">
        <f>IF(SUM(AE505-ref!E$7)&lt;0,0,SUM(AE505-ref!E$7))</f>
        <v>0</v>
      </c>
      <c r="AF506" s="77">
        <f t="shared" ref="AF506:AF511" si="406">IF(AND(H506&lt;&gt;"",J506&lt;&gt;""),1,0+OR(N(J505)&lt;N(H505),F506="récupération",F506="congé 1 jour",F506="congé 1/2 jour ",F506="congé 5h24",F506="arrêt maladie",F506="arrêt travail",F506="férié ",F506="congé parentale",F506="congé de naissance"))</f>
        <v>1</v>
      </c>
      <c r="AG506" s="19"/>
      <c r="AH506" s="178" t="s">
        <v>72</v>
      </c>
      <c r="AI506" s="54" t="s">
        <v>68</v>
      </c>
      <c r="AJ506" s="177" t="s">
        <v>73</v>
      </c>
      <c r="AK506" s="55" cm="1">
        <f t="array" ref="AK506">IF(ISNUMBER(G507),G507-_xlfn.AGGREGATE(14,6,(K$4:K506&lt;G507)*K$4:K506,1),"")</f>
        <v>0.66666666666424135</v>
      </c>
      <c r="AL506" s="20">
        <f>IF(ISNUMBER(AK506),ABS(IF(SUM(AK506-ref!E$9)&gt;0,0,SUM(AK506-ref!E$9))),"")</f>
        <v>0</v>
      </c>
      <c r="AQ506"/>
    </row>
    <row r="507" spans="2:43" x14ac:dyDescent="0.25">
      <c r="B507" s="80">
        <v>16</v>
      </c>
      <c r="C507" s="88" t="s">
        <v>20</v>
      </c>
      <c r="D507" s="88"/>
      <c r="E507" s="154">
        <f t="shared" si="402"/>
        <v>44182</v>
      </c>
      <c r="F507" s="164" t="s">
        <v>20</v>
      </c>
      <c r="G507" s="155">
        <f t="shared" si="399"/>
        <v>44182.375</v>
      </c>
      <c r="H507" s="29">
        <v>0.375</v>
      </c>
      <c r="I507" s="23">
        <f t="shared" si="403"/>
        <v>4.166666666666663E-2</v>
      </c>
      <c r="J507" s="29">
        <v>0.70833333333333337</v>
      </c>
      <c r="K507" s="46">
        <f t="shared" si="400"/>
        <v>44182.708333333336</v>
      </c>
      <c r="L507" s="21">
        <f>IF(OR(F507="télétravail",F507="férié travaillé",F507="travail"),(J507-H507+IF(H507&gt;J507,1)-I507),INDEX(ref!$E$22:'ref'!$E$37,MATCH(F507,gerald3,0)))</f>
        <v>0.29166666666666674</v>
      </c>
      <c r="M507" s="13">
        <f>IF(SUM(L507-ref!E$8)&lt;0,0,SUM(L507-ref!E$8))</f>
        <v>0</v>
      </c>
      <c r="N507" s="252">
        <f>L507-(hs!D506+hs!F506+hs!H506+hs!J506)</f>
        <v>-4.166666666666663E-2</v>
      </c>
      <c r="O507" s="8">
        <f>IF(OR(F507="férié travaillé",F507="travail",F507="asa",F507="rtt"),J507-H507+IF(H507&gt;J507,1),INDEX(ref!$E$22:'ref'!$E$37,MATCH(F507,gerald2,0)))</f>
        <v>0.33333333333333337</v>
      </c>
      <c r="P507" s="14">
        <f>IF(SUM(O507-ref!E$4)&lt;0,0,SUM(O507-ref!E$4))</f>
        <v>0</v>
      </c>
      <c r="Q507" s="98">
        <f t="shared" si="404"/>
        <v>0.87500000000000022</v>
      </c>
      <c r="S507" s="137"/>
      <c r="T507" s="92">
        <v>0.52083333333333337</v>
      </c>
      <c r="U507" s="129">
        <v>0.5625</v>
      </c>
      <c r="V507" s="142">
        <f t="shared" si="401"/>
        <v>4.166666666666663E-2</v>
      </c>
      <c r="W507" s="141">
        <f>IF(V507="","",IF(SUM(V507-ref!E$38)&gt;0,0,IF(V507=0, "0:00", SUM(V507-ref!E$38))))</f>
        <v>0</v>
      </c>
      <c r="X507" s="137"/>
      <c r="Y507" s="92"/>
      <c r="Z507" s="247"/>
      <c r="AA507" s="142">
        <f t="shared" si="405"/>
        <v>0</v>
      </c>
      <c r="AB507" s="245" t="str">
        <f>IF(AA507="","",IF(SUM(AA507-ref!E$38)&gt;0,0,IF(AA507=0, "0:00", SUM(AA507-ref!E$38))))</f>
        <v>0:00</v>
      </c>
      <c r="AC507" s="29"/>
      <c r="AD507" s="106"/>
      <c r="AE507" s="113" t="s">
        <v>29</v>
      </c>
      <c r="AF507" s="77">
        <f t="shared" si="406"/>
        <v>1</v>
      </c>
      <c r="AG507" s="19"/>
      <c r="AH507" s="178" t="s">
        <v>73</v>
      </c>
      <c r="AI507" s="54" t="s">
        <v>68</v>
      </c>
      <c r="AJ507" s="177" t="s">
        <v>74</v>
      </c>
      <c r="AK507" s="55" cm="1">
        <f t="array" ref="AK507">IF(ISNUMBER(G508),G508-_xlfn.AGGREGATE(14,6,(K$4:K507&lt;G508)*K$4:K507,1),"")</f>
        <v>0.66666666666424135</v>
      </c>
      <c r="AL507" s="20">
        <f>IF(ISNUMBER(AK507),ABS(IF(SUM(AK507-ref!E$9)&gt;0,0,SUM(AK507-ref!E$9))),"")</f>
        <v>0</v>
      </c>
      <c r="AQ507"/>
    </row>
    <row r="508" spans="2:43" x14ac:dyDescent="0.25">
      <c r="B508" s="79" t="s">
        <v>58</v>
      </c>
      <c r="C508" s="88" t="s">
        <v>20</v>
      </c>
      <c r="D508" s="88"/>
      <c r="E508" s="154">
        <f t="shared" si="402"/>
        <v>44183</v>
      </c>
      <c r="F508" s="164" t="s">
        <v>20</v>
      </c>
      <c r="G508" s="155">
        <f t="shared" si="399"/>
        <v>44183.375</v>
      </c>
      <c r="H508" s="29">
        <v>0.375</v>
      </c>
      <c r="I508" s="23">
        <f t="shared" si="403"/>
        <v>4.166666666666663E-2</v>
      </c>
      <c r="J508" s="29">
        <v>0.70833333333333337</v>
      </c>
      <c r="K508" s="46">
        <f t="shared" si="400"/>
        <v>44183.708333333336</v>
      </c>
      <c r="L508" s="21">
        <f>IF(OR(F508="télétravail",F508="férié travaillé",F508="travail"),(J508-H508+IF(H508&gt;J508,1)-I508),INDEX(ref!$E$22:'ref'!$E$37,MATCH(F508,gerald3,0)))</f>
        <v>0.29166666666666674</v>
      </c>
      <c r="M508" s="13">
        <f>IF(SUM(L508-ref!E$8)&lt;0,0,SUM(L508-ref!E$8))</f>
        <v>0</v>
      </c>
      <c r="N508" s="252">
        <f>L508-(hs!D507+hs!F507+hs!H507+hs!J507)</f>
        <v>-4.166666666666663E-2</v>
      </c>
      <c r="O508" s="8">
        <f>IF(OR(F508="férié travaillé",F508="travail",F508="asa",F508="rtt"),J508-H508+IF(H508&gt;J508,1),INDEX(ref!$E$22:'ref'!$E$37,MATCH(F508,gerald2,0)))</f>
        <v>0.33333333333333337</v>
      </c>
      <c r="P508" s="14">
        <f>IF(SUM(O508-ref!E$4)&lt;0,0,SUM(O508-ref!E$4))</f>
        <v>0</v>
      </c>
      <c r="Q508" s="97">
        <f t="shared" si="404"/>
        <v>1.166666666666667</v>
      </c>
      <c r="S508" s="137"/>
      <c r="T508" s="92">
        <v>0.52083333333333337</v>
      </c>
      <c r="U508" s="129">
        <v>0.5625</v>
      </c>
      <c r="V508" s="142">
        <f t="shared" si="401"/>
        <v>4.166666666666663E-2</v>
      </c>
      <c r="W508" s="141">
        <f>IF(V508="","",IF(SUM(V508-ref!E$38)&gt;0,0,IF(V508=0, "0:00", SUM(V508-ref!E$38))))</f>
        <v>0</v>
      </c>
      <c r="X508" s="137"/>
      <c r="Y508" s="92"/>
      <c r="Z508" s="247"/>
      <c r="AA508" s="142">
        <f t="shared" si="405"/>
        <v>0</v>
      </c>
      <c r="AB508" s="245" t="str">
        <f>IF(AA508="","",IF(SUM(AA508-ref!E$38)&gt;0,0,IF(AA508=0, "0:00", SUM(AA508-ref!E$38))))</f>
        <v>0:00</v>
      </c>
      <c r="AC508" s="29"/>
      <c r="AD508" s="106"/>
      <c r="AE508" s="114">
        <f>Q511</f>
        <v>1.4583333333333337</v>
      </c>
      <c r="AF508" s="77">
        <f t="shared" si="406"/>
        <v>1</v>
      </c>
      <c r="AG508" s="19"/>
      <c r="AH508" s="178" t="s">
        <v>74</v>
      </c>
      <c r="AI508" s="54" t="s">
        <v>68</v>
      </c>
      <c r="AJ508" s="177" t="s">
        <v>75</v>
      </c>
      <c r="AK508" s="55" cm="1">
        <f t="array" ref="AK508">IF(ISNUMBER(G509),G509-_xlfn.AGGREGATE(14,6,(K$4:K508&lt;G509)*K$4:K508,1),"")</f>
        <v>0.66666666666424135</v>
      </c>
      <c r="AL508" s="20">
        <f>IF(ISNUMBER(AK508),ABS(IF(SUM(AK508-ref!E$9)&gt;0,0,SUM(AK508-ref!E$9))),"")</f>
        <v>0</v>
      </c>
      <c r="AQ508"/>
    </row>
    <row r="509" spans="2:43" x14ac:dyDescent="0.25">
      <c r="B509" s="81">
        <v>12</v>
      </c>
      <c r="C509" s="88" t="s">
        <v>20</v>
      </c>
      <c r="D509" s="88"/>
      <c r="E509" s="154">
        <f t="shared" si="402"/>
        <v>44184</v>
      </c>
      <c r="F509" s="164" t="s">
        <v>20</v>
      </c>
      <c r="G509" s="155">
        <f t="shared" si="399"/>
        <v>44184.375</v>
      </c>
      <c r="H509" s="29">
        <v>0.375</v>
      </c>
      <c r="I509" s="23">
        <f t="shared" si="403"/>
        <v>4.166666666666663E-2</v>
      </c>
      <c r="J509" s="29">
        <v>0.70833333333333337</v>
      </c>
      <c r="K509" s="46">
        <f t="shared" si="400"/>
        <v>44184.708333333336</v>
      </c>
      <c r="L509" s="21">
        <f>IF(OR(F509="télétravail",F509="férié travaillé",F509="travail"),(J509-H509+IF(H509&gt;J509,1)-I509),INDEX(ref!$E$22:'ref'!$E$37,MATCH(F509,gerald3,0)))</f>
        <v>0.29166666666666674</v>
      </c>
      <c r="M509" s="13">
        <f>IF(SUM(L509-ref!E$8)&lt;0,0,SUM(L509-ref!E$8))</f>
        <v>0</v>
      </c>
      <c r="N509" s="252">
        <f>L509-(hs!D508+hs!F508+hs!H508+hs!J508)</f>
        <v>-4.166666666666663E-2</v>
      </c>
      <c r="O509" s="8">
        <f>IF(OR(F509="férié travaillé",F509="travail",F509="asa",F509="rtt"),J509-H509+IF(H509&gt;J509,1),INDEX(ref!$E$22:'ref'!$E$37,MATCH(F509,gerald2,0)))</f>
        <v>0.33333333333333337</v>
      </c>
      <c r="P509" s="14">
        <f>IF(SUM(O509-ref!E$4)&lt;0,0,SUM(O509-ref!E$4))</f>
        <v>0</v>
      </c>
      <c r="Q509" s="24">
        <f t="shared" si="404"/>
        <v>1.4583333333333337</v>
      </c>
      <c r="S509" s="137"/>
      <c r="T509" s="92">
        <v>0.52083333333333337</v>
      </c>
      <c r="U509" s="129">
        <v>0.5625</v>
      </c>
      <c r="V509" s="142">
        <f t="shared" si="401"/>
        <v>4.166666666666663E-2</v>
      </c>
      <c r="W509" s="141">
        <f>IF(V509="","",IF(SUM(V509-ref!E$38)&gt;0,0,IF(V509=0, "0:00", SUM(V509-ref!E$38))))</f>
        <v>0</v>
      </c>
      <c r="X509" s="137"/>
      <c r="Y509" s="92"/>
      <c r="Z509" s="247"/>
      <c r="AA509" s="142">
        <f t="shared" si="405"/>
        <v>0</v>
      </c>
      <c r="AB509" s="245" t="str">
        <f>IF(AA509="","",IF(SUM(AA509-ref!E$38)&gt;0,0,IF(AA509=0, "0:00", SUM(AA509-ref!E$38))))</f>
        <v>0:00</v>
      </c>
      <c r="AC509" s="29"/>
      <c r="AD509" s="106"/>
      <c r="AE509" s="117" t="s">
        <v>47</v>
      </c>
      <c r="AF509" s="77">
        <f t="shared" si="406"/>
        <v>1</v>
      </c>
      <c r="AG509" s="19"/>
      <c r="AH509" s="178" t="s">
        <v>75</v>
      </c>
      <c r="AI509" s="54" t="s">
        <v>68</v>
      </c>
      <c r="AJ509" s="177" t="s">
        <v>76</v>
      </c>
      <c r="AK509" s="55" t="str" cm="1">
        <f t="array" ref="AK509">IF(ISNUMBER(G510),G510-_xlfn.AGGREGATE(14,6,(K$4:K509&lt;G510)*K$4:K509,1),"")</f>
        <v/>
      </c>
      <c r="AL509" s="20" t="str">
        <f>IF(ISNUMBER(AK509),ABS(IF(SUM(AK509-ref!E$9)&gt;0,0,SUM(AK509-ref!E$9))),"")</f>
        <v/>
      </c>
      <c r="AQ509"/>
    </row>
    <row r="510" spans="2:43" ht="15.75" thickBot="1" x14ac:dyDescent="0.3">
      <c r="B510"/>
      <c r="C510"/>
      <c r="D510"/>
      <c r="E510" s="154">
        <f t="shared" si="402"/>
        <v>44185</v>
      </c>
      <c r="F510" s="164" t="s">
        <v>19</v>
      </c>
      <c r="G510" s="155" t="str">
        <f t="shared" si="399"/>
        <v/>
      </c>
      <c r="H510" s="29"/>
      <c r="I510" s="23">
        <f t="shared" si="403"/>
        <v>0</v>
      </c>
      <c r="J510" s="29"/>
      <c r="K510" s="46" t="str">
        <f t="shared" si="400"/>
        <v/>
      </c>
      <c r="L510" s="21">
        <f>IF(OR(F510="télétravail",F510="férié travaillé",F510="travail"),(J510-H510+IF(H510&gt;J510,1)-I510),INDEX(ref!$E$22:'ref'!$E$37,MATCH(F510,gerald3,0)))</f>
        <v>0</v>
      </c>
      <c r="M510" s="13">
        <f>IF(SUM(L510-ref!E$8)&lt;0,0,SUM(L510-ref!E$8))</f>
        <v>0</v>
      </c>
      <c r="N510" s="252">
        <f>L510-(hs!D509+hs!F509+hs!H509+hs!J509)</f>
        <v>0</v>
      </c>
      <c r="O510" s="8">
        <f>IF(OR(F510="férié travaillé",F510="travail",F510="asa",F510="rtt"),J510-H510+IF(H510&gt;J510,1),INDEX(ref!$E$22:'ref'!$E$37,MATCH(F510,gerald2,0)))</f>
        <v>0</v>
      </c>
      <c r="P510" s="14">
        <f>IF(SUM(O510-ref!E$4)&lt;0,0,SUM(O510-ref!E$4))</f>
        <v>0</v>
      </c>
      <c r="Q510" s="97">
        <f t="shared" si="404"/>
        <v>1.4583333333333337</v>
      </c>
      <c r="S510" s="137"/>
      <c r="T510" s="92"/>
      <c r="U510" s="129"/>
      <c r="V510" s="142">
        <f t="shared" si="401"/>
        <v>0</v>
      </c>
      <c r="W510" s="141" t="str">
        <f>IF(V510="","",IF(SUM(V510-ref!E$38)&gt;0,0,IF(V510=0, "0:00", SUM(V510-ref!E$38))))</f>
        <v>0:00</v>
      </c>
      <c r="X510" s="137"/>
      <c r="Y510" s="92"/>
      <c r="Z510" s="247"/>
      <c r="AA510" s="142">
        <f t="shared" si="405"/>
        <v>0</v>
      </c>
      <c r="AB510" s="245" t="str">
        <f>IF(AA510="","",IF(SUM(AA510-ref!E$38)&gt;0,0,IF(AA510=0, "0:00", SUM(AA510-ref!E$38))))</f>
        <v>0:00</v>
      </c>
      <c r="AC510" s="29"/>
      <c r="AD510" s="106"/>
      <c r="AE510" s="118">
        <f>ref!E$11</f>
        <v>2</v>
      </c>
      <c r="AF510" s="77">
        <f t="shared" si="406"/>
        <v>0</v>
      </c>
      <c r="AG510" s="19"/>
      <c r="AH510" s="178" t="s">
        <v>76</v>
      </c>
      <c r="AI510" s="54" t="s">
        <v>68</v>
      </c>
      <c r="AJ510" s="177" t="s">
        <v>77</v>
      </c>
      <c r="AK510" s="55" t="str" cm="1">
        <f t="array" ref="AK510">IF(ISNUMBER(G511),G511-_xlfn.AGGREGATE(14,6,(K$4:K510&lt;G511)*K$4:K510,1),"")</f>
        <v/>
      </c>
      <c r="AL510" s="20" t="str">
        <f>IF(ISNUMBER(AK510),ABS(IF(SUM(AK510-ref!E$9)&gt;0,0,SUM(AK510-ref!E$9))),"")</f>
        <v/>
      </c>
      <c r="AQ510"/>
    </row>
    <row r="511" spans="2:43" ht="15.75" thickBot="1" x14ac:dyDescent="0.3">
      <c r="B511"/>
      <c r="C511"/>
      <c r="D511"/>
      <c r="E511" s="154">
        <f t="shared" si="402"/>
        <v>44186</v>
      </c>
      <c r="F511" s="165" t="s">
        <v>19</v>
      </c>
      <c r="G511" s="155" t="str">
        <f t="shared" si="399"/>
        <v/>
      </c>
      <c r="H511" s="29"/>
      <c r="I511" s="23">
        <f t="shared" si="403"/>
        <v>0</v>
      </c>
      <c r="J511" s="29"/>
      <c r="K511" s="46" t="str">
        <f t="shared" si="400"/>
        <v/>
      </c>
      <c r="L511" s="21">
        <f>IF(OR(F511="télétravail",F511="férié travaillé",F511="travail"),(J511-H511+IF(H511&gt;J511,1)-I511),INDEX(ref!$E$22:'ref'!$E$37,MATCH(F511,gerald3,0)))</f>
        <v>0</v>
      </c>
      <c r="M511" s="13">
        <f>IF(SUM(L511-ref!E$8)&lt;0,0,SUM(L511-ref!E$8))</f>
        <v>0</v>
      </c>
      <c r="N511" s="252">
        <f>L511-(hs!D510+hs!F510+hs!H510+hs!J510)</f>
        <v>0</v>
      </c>
      <c r="O511" s="8">
        <f>IF(OR(F511="férié travaillé",F511="travail",F511="asa",F511="rtt"),J511-H511+IF(H511&gt;J511,1),INDEX(ref!$E$22:'ref'!$E$37,MATCH(F511,gerald2,0)))</f>
        <v>0</v>
      </c>
      <c r="P511" s="14">
        <f>IF(SUM(O511-ref!E$4)&lt;0,0,SUM(O511-ref!E$4))</f>
        <v>0</v>
      </c>
      <c r="Q511" s="94">
        <f t="shared" si="404"/>
        <v>1.4583333333333337</v>
      </c>
      <c r="S511" s="138"/>
      <c r="T511" s="92"/>
      <c r="U511" s="129"/>
      <c r="V511" s="142">
        <f t="shared" si="401"/>
        <v>0</v>
      </c>
      <c r="W511" s="141" t="str">
        <f>IF(V511="","",IF(SUM(V511-ref!E$38)&gt;0,0,IF(V511=0, "0:00", SUM(V511-ref!E$38))))</f>
        <v>0:00</v>
      </c>
      <c r="X511" s="138"/>
      <c r="Y511" s="92"/>
      <c r="Z511" s="247"/>
      <c r="AA511" s="142">
        <f t="shared" si="405"/>
        <v>0</v>
      </c>
      <c r="AB511" s="246" t="str">
        <f>IF(AA511="","",IF(SUM(AA511-ref!E$38)&gt;0,0,IF(AA511=0, "0:00", SUM(AA511-ref!E$38))))</f>
        <v>0:00</v>
      </c>
      <c r="AC511" s="29"/>
      <c r="AD511" s="106"/>
      <c r="AE511" s="110">
        <f>IF(SUM(Q511-ref!E$11)&lt;0,0,SUM(Q511-ref!E$11))</f>
        <v>0</v>
      </c>
      <c r="AF511" s="77">
        <f t="shared" si="406"/>
        <v>0</v>
      </c>
      <c r="AG511" s="19"/>
      <c r="AQ511"/>
    </row>
    <row r="512" spans="2:43" x14ac:dyDescent="0.25">
      <c r="W512" s="74"/>
      <c r="X512" s="2"/>
      <c r="Z512"/>
      <c r="AA512" s="2"/>
      <c r="AB512" s="2"/>
      <c r="AC512" s="127"/>
    </row>
    <row r="513" spans="2:43" x14ac:dyDescent="0.25">
      <c r="X513" s="2"/>
      <c r="Z513"/>
      <c r="AA513" s="2"/>
      <c r="AB513" s="2"/>
      <c r="AC513" s="127"/>
      <c r="AQ513"/>
    </row>
    <row r="514" spans="2:43" ht="15.75" thickBot="1" x14ac:dyDescent="0.3">
      <c r="W514" s="74"/>
      <c r="X514" s="2"/>
      <c r="Z514"/>
      <c r="AA514" s="2"/>
      <c r="AB514" s="2"/>
      <c r="AC514" s="127"/>
      <c r="AJ514" s="2"/>
    </row>
    <row r="515" spans="2:43" x14ac:dyDescent="0.25">
      <c r="B515" s="78" t="s">
        <v>1</v>
      </c>
      <c r="C515" s="86" t="s">
        <v>91</v>
      </c>
      <c r="D515" s="86"/>
      <c r="E515" s="154">
        <f>DATE(ref!E$2,B519,B517)</f>
        <v>44187</v>
      </c>
      <c r="F515" s="163" t="s">
        <v>22</v>
      </c>
      <c r="G515" s="155" t="str">
        <f t="shared" ref="G515:G521" si="407">IF(AND(J515="",H515=""),"",E515+H515)</f>
        <v/>
      </c>
      <c r="H515" s="29"/>
      <c r="I515" s="23">
        <f>SUM(V515+AA515+AC515)</f>
        <v>0</v>
      </c>
      <c r="J515" s="29"/>
      <c r="K515" s="46" t="str">
        <f t="shared" ref="K515:K521" si="408">IF(AND(H515="",J515=""),"",E515+J515+(H515&gt;J515))</f>
        <v/>
      </c>
      <c r="L515" s="21">
        <f>IF(OR(F515="télétravail",F515="férié travaillé",F515="travail"),(J515-H515+IF(H515&gt;J515,1)-I525),INDEX(ref!$E$22:'ref'!$E$37,MATCH(F515,gerald3,0)))</f>
        <v>0.29166666666666669</v>
      </c>
      <c r="M515" s="13">
        <f>IF(SUM(L515-ref!E$8)&lt;0,0,SUM(L515-ref!E$8))</f>
        <v>0</v>
      </c>
      <c r="N515" s="252">
        <f>L515-(hs!D514+hs!F514+hs!H514+hs!J514)</f>
        <v>0.29166666666666669</v>
      </c>
      <c r="O515" s="8">
        <f>IF(OR(F515="férié travaillé",F515="travail",F515="asa",F515="rtt"),J515-H515+IF(H515&gt;J515,1),INDEX(ref!$E$22:'ref'!$E$37,MATCH(F515,gerald2,0)))</f>
        <v>0.29166666666666669</v>
      </c>
      <c r="P515" s="14">
        <f>IF(SUM(O515-ref!E$4)&lt;0,0,SUM(O515-ref!E$4))</f>
        <v>0</v>
      </c>
      <c r="Q515" s="166">
        <f>L515</f>
        <v>0.29166666666666669</v>
      </c>
      <c r="S515" s="136"/>
      <c r="T515" s="92"/>
      <c r="U515" s="129"/>
      <c r="V515" s="142">
        <f t="shared" ref="V515:V521" si="409">U515-T515</f>
        <v>0</v>
      </c>
      <c r="W515" s="141" t="str">
        <f>IF(V515="","",IF(SUM(V515-ref!E$38)&gt;0,0,IF(V515=0, "0:00", SUM(V515-ref!E$38))))</f>
        <v>0:00</v>
      </c>
      <c r="X515" s="136"/>
      <c r="Y515" s="92"/>
      <c r="Z515" s="247"/>
      <c r="AA515" s="142">
        <f>Z515-Y515</f>
        <v>0</v>
      </c>
      <c r="AB515" s="244" t="str">
        <f>IF(AA515="","",IF(SUM(AA515-ref!E$38)&gt;0,0,IF(AA515=0, "0:00", SUM(AA515-ref!E$38))))</f>
        <v>0:00</v>
      </c>
      <c r="AC515" s="29"/>
      <c r="AD515" s="106"/>
      <c r="AE515" s="111">
        <f>SUM(AF515:AF521)</f>
        <v>5</v>
      </c>
      <c r="AF515" s="77">
        <f>IF(AND(H515&lt;&gt;"",J515&lt;&gt;""),1,0+OR(N(J513)&lt;N(H513),F515="récupération",F515="congé 1 jour",F515="congé 1/2 jour ",F515="congé 5h24",F515="arrêt maladie",F515="arrêt travail",F515="férié ",F515="congé parentale",F515="congé de naissance"))</f>
        <v>1</v>
      </c>
      <c r="AG515" s="19"/>
      <c r="AH515" s="176" t="s">
        <v>71</v>
      </c>
      <c r="AI515" s="54" t="s">
        <v>68</v>
      </c>
      <c r="AJ515" s="177" t="s">
        <v>72</v>
      </c>
      <c r="AK515" s="55" t="str" cm="1">
        <f t="array" ref="AK515">IF(ISNUMBER(G516),G516-_xlfn.AGGREGATE(14,6,(K$4:K515&lt;G516)*K$4:K515,1),"")</f>
        <v/>
      </c>
      <c r="AL515" s="20" t="str">
        <f>IF(ISNUMBER(AK515),ABS(IF(SUM(AK515-ref!E$9)&gt;0,0,SUM(AK515-ref!E$9))),"")</f>
        <v/>
      </c>
      <c r="AQ515"/>
    </row>
    <row r="516" spans="2:43" x14ac:dyDescent="0.25">
      <c r="B516" s="79" t="s">
        <v>1</v>
      </c>
      <c r="C516" s="86" t="s">
        <v>91</v>
      </c>
      <c r="D516" s="86"/>
      <c r="E516" s="154">
        <f t="shared" ref="E516:E521" si="410">E515+1</f>
        <v>44188</v>
      </c>
      <c r="F516" s="164" t="s">
        <v>22</v>
      </c>
      <c r="G516" s="155" t="str">
        <f t="shared" si="407"/>
        <v/>
      </c>
      <c r="H516" s="29"/>
      <c r="I516" s="23">
        <f t="shared" ref="I516:I521" si="411">SUM(V516+AA516+AC516)</f>
        <v>0</v>
      </c>
      <c r="J516" s="29"/>
      <c r="K516" s="46" t="str">
        <f t="shared" si="408"/>
        <v/>
      </c>
      <c r="L516" s="21">
        <f>IF(OR(F516="télétravail",F516="férié travaillé",F516="travail"),(J516-H516+IF(H516&gt;J516,1)-I526),INDEX(ref!$E$22:'ref'!$E$37,MATCH(F516,gerald3,0)))</f>
        <v>0.29166666666666669</v>
      </c>
      <c r="M516" s="13">
        <f>IF(SUM(L516-ref!E$8)&lt;0,0,SUM(L516-ref!E$8))</f>
        <v>0</v>
      </c>
      <c r="N516" s="252">
        <f>L516-(hs!D515+hs!F515+hs!H515+hs!J515)</f>
        <v>0.29166666666666669</v>
      </c>
      <c r="O516" s="8">
        <f>IF(OR(F516="férié travaillé",F516="travail",F516="asa",F516="rtt"),J516-H516+IF(H516&gt;J516,1),INDEX(ref!$E$22:'ref'!$E$37,MATCH(F516,gerald2,0)))</f>
        <v>0.29166666666666669</v>
      </c>
      <c r="P516" s="14">
        <f>IF(SUM(O516-ref!E$4)&lt;0,0,SUM(O516-ref!E$4))</f>
        <v>0</v>
      </c>
      <c r="Q516" s="98">
        <f t="shared" ref="Q516:Q521" si="412">Q515+L516</f>
        <v>0.58333333333333337</v>
      </c>
      <c r="S516" s="137"/>
      <c r="T516" s="92"/>
      <c r="U516" s="129"/>
      <c r="V516" s="142">
        <f t="shared" si="409"/>
        <v>0</v>
      </c>
      <c r="W516" s="141" t="str">
        <f>IF(V516="","",IF(SUM(V516-ref!E$38)&gt;0,0,IF(V516=0, "0:00", SUM(V516-ref!E$38))))</f>
        <v>0:00</v>
      </c>
      <c r="X516" s="137"/>
      <c r="Y516" s="92"/>
      <c r="Z516" s="247"/>
      <c r="AA516" s="142">
        <f t="shared" ref="AA516:AA521" si="413">Z516-Y516</f>
        <v>0</v>
      </c>
      <c r="AB516" s="245" t="str">
        <f>IF(AA516="","",IF(SUM(AA516-ref!E$38)&gt;0,0,IF(AA516=0, "0:00", SUM(AA516-ref!E$38))))</f>
        <v>0:00</v>
      </c>
      <c r="AC516" s="29"/>
      <c r="AD516" s="106"/>
      <c r="AE516" s="112">
        <f>IF(SUM(AE515-ref!E$7)&lt;0,0,SUM(AE515-ref!E$7))</f>
        <v>0</v>
      </c>
      <c r="AF516" s="77">
        <f t="shared" ref="AF516:AF521" si="414">IF(AND(H516&lt;&gt;"",J516&lt;&gt;""),1,0+OR(N(J515)&lt;N(H515),F516="récupération",F516="congé 1 jour",F516="congé 1/2 jour ",F516="congé 5h24",F516="arrêt maladie",F516="arrêt travail",F516="férié ",F516="congé parentale",F516="congé de naissance"))</f>
        <v>1</v>
      </c>
      <c r="AG516" s="19"/>
      <c r="AH516" s="178" t="s">
        <v>72</v>
      </c>
      <c r="AI516" s="54" t="s">
        <v>68</v>
      </c>
      <c r="AJ516" s="177" t="s">
        <v>73</v>
      </c>
      <c r="AK516" s="55" t="str" cm="1">
        <f t="array" ref="AK516">IF(ISNUMBER(G517),G517-_xlfn.AGGREGATE(14,6,(K$4:K516&lt;G517)*K$4:K516,1),"")</f>
        <v/>
      </c>
      <c r="AL516" s="20" t="str">
        <f>IF(ISNUMBER(AK516),ABS(IF(SUM(AK516-ref!E$9)&gt;0,0,SUM(AK516-ref!E$9))),"")</f>
        <v/>
      </c>
      <c r="AQ516"/>
    </row>
    <row r="517" spans="2:43" x14ac:dyDescent="0.25">
      <c r="B517" s="80">
        <v>23</v>
      </c>
      <c r="C517" s="86" t="s">
        <v>91</v>
      </c>
      <c r="D517" s="86"/>
      <c r="E517" s="154">
        <f t="shared" si="410"/>
        <v>44189</v>
      </c>
      <c r="F517" s="164" t="s">
        <v>26</v>
      </c>
      <c r="G517" s="155" t="str">
        <f t="shared" si="407"/>
        <v/>
      </c>
      <c r="H517" s="29"/>
      <c r="I517" s="23">
        <f t="shared" si="411"/>
        <v>0</v>
      </c>
      <c r="J517" s="29"/>
      <c r="K517" s="46" t="str">
        <f t="shared" si="408"/>
        <v/>
      </c>
      <c r="L517" s="21">
        <f>IF(OR(F517="télétravail",F517="férié travaillé",F517="travail"),(J517-H517+IF(H517&gt;J517,1)-I527),INDEX(ref!$E$22:'ref'!$E$37,MATCH(F517,gerald3,0)))</f>
        <v>0.29166666666666669</v>
      </c>
      <c r="M517" s="13">
        <f>IF(SUM(L517-ref!E$8)&lt;0,0,SUM(L517-ref!E$8))</f>
        <v>0</v>
      </c>
      <c r="N517" s="252">
        <f>L517-(hs!D516+hs!F516+hs!H516+hs!J516)</f>
        <v>0.29166666666666669</v>
      </c>
      <c r="O517" s="8">
        <f>IF(OR(F517="férié travaillé",F517="travail",F517="asa",F517="rtt"),J517-H517+IF(H517&gt;J517,1),INDEX(ref!$E$22:'ref'!$E$37,MATCH(F517,gerald2,0)))</f>
        <v>0.29166666666666669</v>
      </c>
      <c r="P517" s="14">
        <f>IF(SUM(O517-ref!E$4)&lt;0,0,SUM(O517-ref!E$4))</f>
        <v>0</v>
      </c>
      <c r="Q517" s="98">
        <f t="shared" si="412"/>
        <v>0.875</v>
      </c>
      <c r="S517" s="137"/>
      <c r="T517" s="92"/>
      <c r="U517" s="129"/>
      <c r="V517" s="142">
        <f t="shared" si="409"/>
        <v>0</v>
      </c>
      <c r="W517" s="141" t="str">
        <f>IF(V517="","",IF(SUM(V517-ref!E$38)&gt;0,0,IF(V517=0, "0:00", SUM(V517-ref!E$38))))</f>
        <v>0:00</v>
      </c>
      <c r="X517" s="137"/>
      <c r="Y517" s="92"/>
      <c r="Z517" s="247"/>
      <c r="AA517" s="142">
        <f t="shared" si="413"/>
        <v>0</v>
      </c>
      <c r="AB517" s="245" t="str">
        <f>IF(AA517="","",IF(SUM(AA517-ref!E$38)&gt;0,0,IF(AA517=0, "0:00", SUM(AA517-ref!E$38))))</f>
        <v>0:00</v>
      </c>
      <c r="AC517" s="29"/>
      <c r="AD517" s="106"/>
      <c r="AE517" s="113" t="s">
        <v>29</v>
      </c>
      <c r="AF517" s="77">
        <f t="shared" si="414"/>
        <v>1</v>
      </c>
      <c r="AG517" s="19"/>
      <c r="AH517" s="178" t="s">
        <v>73</v>
      </c>
      <c r="AI517" s="54" t="s">
        <v>68</v>
      </c>
      <c r="AJ517" s="177" t="s">
        <v>74</v>
      </c>
      <c r="AK517" s="55" t="str" cm="1">
        <f t="array" ref="AK517">IF(ISNUMBER(G518),G518-_xlfn.AGGREGATE(14,6,(K$4:K517&lt;G518)*K$4:K517,1),"")</f>
        <v/>
      </c>
      <c r="AL517" s="20" t="str">
        <f>IF(ISNUMBER(AK517),ABS(IF(SUM(AK517-ref!E$9)&gt;0,0,SUM(AK517-ref!E$9))),"")</f>
        <v/>
      </c>
      <c r="AQ517"/>
    </row>
    <row r="518" spans="2:43" x14ac:dyDescent="0.25">
      <c r="B518" s="79" t="s">
        <v>58</v>
      </c>
      <c r="C518" s="86" t="s">
        <v>91</v>
      </c>
      <c r="D518" s="86"/>
      <c r="E518" s="154">
        <f t="shared" si="410"/>
        <v>44190</v>
      </c>
      <c r="F518" s="164" t="s">
        <v>22</v>
      </c>
      <c r="G518" s="155" t="str">
        <f t="shared" si="407"/>
        <v/>
      </c>
      <c r="H518" s="29"/>
      <c r="I518" s="23">
        <f t="shared" si="411"/>
        <v>0</v>
      </c>
      <c r="J518" s="29"/>
      <c r="K518" s="46" t="str">
        <f t="shared" si="408"/>
        <v/>
      </c>
      <c r="L518" s="21">
        <f>IF(OR(F518="télétravail",F518="férié travaillé",F518="travail"),(J518-H518+IF(H518&gt;J518,1)-I528),INDEX(ref!$E$22:'ref'!$E$37,MATCH(F518,gerald3,0)))</f>
        <v>0.29166666666666669</v>
      </c>
      <c r="M518" s="13">
        <f>IF(SUM(L518-ref!E$8)&lt;0,0,SUM(L518-ref!E$8))</f>
        <v>0</v>
      </c>
      <c r="N518" s="252">
        <f>L518-(hs!D517+hs!F517+hs!H517+hs!J517)</f>
        <v>0.29166666666666669</v>
      </c>
      <c r="O518" s="8">
        <f>IF(OR(F518="férié travaillé",F518="travail",F518="asa",F518="rtt"),J518-H518+IF(H518&gt;J518,1),INDEX(ref!$E$22:'ref'!$E$37,MATCH(F518,gerald2,0)))</f>
        <v>0.29166666666666669</v>
      </c>
      <c r="P518" s="14">
        <f>IF(SUM(O518-ref!E$4)&lt;0,0,SUM(O518-ref!E$4))</f>
        <v>0</v>
      </c>
      <c r="Q518" s="98">
        <f t="shared" si="412"/>
        <v>1.1666666666666667</v>
      </c>
      <c r="S518" s="137"/>
      <c r="T518" s="92"/>
      <c r="U518" s="129"/>
      <c r="V518" s="142">
        <f t="shared" si="409"/>
        <v>0</v>
      </c>
      <c r="W518" s="141" t="str">
        <f>IF(V518="","",IF(SUM(V518-ref!E$38)&gt;0,0,IF(V518=0, "0:00", SUM(V518-ref!E$38))))</f>
        <v>0:00</v>
      </c>
      <c r="X518" s="137"/>
      <c r="Y518" s="92"/>
      <c r="Z518" s="247"/>
      <c r="AA518" s="142">
        <f t="shared" si="413"/>
        <v>0</v>
      </c>
      <c r="AB518" s="245" t="str">
        <f>IF(AA518="","",IF(SUM(AA518-ref!E$38)&gt;0,0,IF(AA518=0, "0:00", SUM(AA518-ref!E$38))))</f>
        <v>0:00</v>
      </c>
      <c r="AC518" s="29"/>
      <c r="AE518" s="114">
        <f>Q521</f>
        <v>1.4583333333333335</v>
      </c>
      <c r="AF518" s="77">
        <f t="shared" si="414"/>
        <v>1</v>
      </c>
      <c r="AG518" s="19"/>
      <c r="AH518" s="178" t="s">
        <v>74</v>
      </c>
      <c r="AI518" s="54" t="s">
        <v>68</v>
      </c>
      <c r="AJ518" s="177" t="s">
        <v>75</v>
      </c>
      <c r="AK518" s="55" t="str" cm="1">
        <f t="array" ref="AK518">IF(ISNUMBER(G519),G519-_xlfn.AGGREGATE(14,6,(K$4:K518&lt;G519)*K$4:K518,1),"")</f>
        <v/>
      </c>
      <c r="AL518" s="20" t="str">
        <f>IF(ISNUMBER(AK518),ABS(IF(SUM(AK518-ref!E$9)&gt;0,0,SUM(AK518-ref!E$9))),"")</f>
        <v/>
      </c>
      <c r="AQ518"/>
    </row>
    <row r="519" spans="2:43" x14ac:dyDescent="0.25">
      <c r="B519" s="81">
        <v>12</v>
      </c>
      <c r="C519" s="86" t="s">
        <v>91</v>
      </c>
      <c r="D519" s="86"/>
      <c r="E519" s="154">
        <f t="shared" si="410"/>
        <v>44191</v>
      </c>
      <c r="F519" s="164" t="s">
        <v>22</v>
      </c>
      <c r="G519" s="155" t="str">
        <f t="shared" si="407"/>
        <v/>
      </c>
      <c r="H519" s="29"/>
      <c r="I519" s="23">
        <f t="shared" si="411"/>
        <v>0</v>
      </c>
      <c r="J519" s="29"/>
      <c r="K519" s="46" t="str">
        <f t="shared" si="408"/>
        <v/>
      </c>
      <c r="L519" s="21">
        <f>IF(OR(F519="télétravail",F519="férié travaillé",F519="travail"),(J519-H519+IF(H519&gt;J519,1)-I529),INDEX(ref!$E$22:'ref'!$E$37,MATCH(F519,gerald3,0)))</f>
        <v>0.29166666666666669</v>
      </c>
      <c r="M519" s="13">
        <f>IF(SUM(L519-ref!E$8)&lt;0,0,SUM(L519-ref!E$8))</f>
        <v>0</v>
      </c>
      <c r="N519" s="252">
        <f>L519-(hs!D518+hs!F518+hs!H518+hs!J518)</f>
        <v>0.29166666666666669</v>
      </c>
      <c r="O519" s="8">
        <f>IF(OR(F519="férié travaillé",F519="travail",F519="asa",F519="rtt"),J519-H519+IF(H519&gt;J519,1),INDEX(ref!$E$22:'ref'!$E$37,MATCH(F519,gerald2,0)))</f>
        <v>0.29166666666666669</v>
      </c>
      <c r="P519" s="14">
        <f>IF(SUM(O519-ref!E$4)&lt;0,0,SUM(O519-ref!E$4))</f>
        <v>0</v>
      </c>
      <c r="Q519" s="143">
        <f t="shared" si="412"/>
        <v>1.4583333333333335</v>
      </c>
      <c r="S519" s="137"/>
      <c r="T519" s="92"/>
      <c r="U519" s="129"/>
      <c r="V519" s="142">
        <f t="shared" si="409"/>
        <v>0</v>
      </c>
      <c r="W519" s="141" t="str">
        <f>IF(V519="","",IF(SUM(V519-ref!E$38)&gt;0,0,IF(V519=0, "0:00", SUM(V519-ref!E$38))))</f>
        <v>0:00</v>
      </c>
      <c r="X519" s="137"/>
      <c r="Y519" s="92"/>
      <c r="Z519" s="247"/>
      <c r="AA519" s="142">
        <f t="shared" si="413"/>
        <v>0</v>
      </c>
      <c r="AB519" s="245" t="str">
        <f>IF(AA519="","",IF(SUM(AA519-ref!E$38)&gt;0,0,IF(AA519=0, "0:00", SUM(AA519-ref!E$38))))</f>
        <v>0:00</v>
      </c>
      <c r="AC519" s="29"/>
      <c r="AD519" s="106"/>
      <c r="AE519" s="117" t="s">
        <v>47</v>
      </c>
      <c r="AF519" s="77">
        <f t="shared" si="414"/>
        <v>1</v>
      </c>
      <c r="AG519" s="19"/>
      <c r="AH519" s="178" t="s">
        <v>75</v>
      </c>
      <c r="AI519" s="54" t="s">
        <v>68</v>
      </c>
      <c r="AJ519" s="177" t="s">
        <v>76</v>
      </c>
      <c r="AK519" s="55" t="str" cm="1">
        <f t="array" ref="AK519">IF(ISNUMBER(G520),G520-_xlfn.AGGREGATE(14,6,(K$4:K519&lt;G520)*K$4:K519,1),"")</f>
        <v/>
      </c>
      <c r="AL519" s="20" t="str">
        <f>IF(ISNUMBER(AK519),ABS(IF(SUM(AK519-ref!E$9)&gt;0,0,SUM(AK519-ref!E$9))),"")</f>
        <v/>
      </c>
      <c r="AQ519"/>
    </row>
    <row r="520" spans="2:43" ht="15.75" thickBot="1" x14ac:dyDescent="0.3">
      <c r="B520"/>
      <c r="C520"/>
      <c r="D520"/>
      <c r="E520" s="154">
        <f t="shared" si="410"/>
        <v>44192</v>
      </c>
      <c r="F520" s="164" t="s">
        <v>19</v>
      </c>
      <c r="G520" s="155" t="str">
        <f t="shared" si="407"/>
        <v/>
      </c>
      <c r="H520" s="29"/>
      <c r="I520" s="23">
        <f t="shared" si="411"/>
        <v>0</v>
      </c>
      <c r="J520" s="29"/>
      <c r="K520" s="46" t="str">
        <f t="shared" si="408"/>
        <v/>
      </c>
      <c r="L520" s="21">
        <f>IF(OR(F520="télétravail",F520="férié travaillé",F520="travail"),(J520-H520+IF(H520&gt;J520,1)-I530),INDEX(ref!$E$22:'ref'!$E$37,MATCH(F520,gerald3,0)))</f>
        <v>0</v>
      </c>
      <c r="M520" s="13">
        <f>IF(SUM(L520-ref!E$8)&lt;0,0,SUM(L520-ref!E$8))</f>
        <v>0</v>
      </c>
      <c r="N520" s="252">
        <f>L520-(hs!D519+hs!F519+hs!H519+hs!J519)</f>
        <v>0</v>
      </c>
      <c r="O520" s="8">
        <f>IF(OR(F520="férié travaillé",F520="travail",F520="asa",F520="rtt"),J520-H520+IF(H520&gt;J520,1),INDEX(ref!$E$22:'ref'!$E$37,MATCH(F520,gerald2,0)))</f>
        <v>0</v>
      </c>
      <c r="P520" s="14">
        <f>IF(SUM(O520-ref!E$4)&lt;0,0,SUM(O520-ref!E$4))</f>
        <v>0</v>
      </c>
      <c r="Q520" s="97">
        <f t="shared" si="412"/>
        <v>1.4583333333333335</v>
      </c>
      <c r="S520" s="137"/>
      <c r="T520" s="92"/>
      <c r="U520" s="129"/>
      <c r="V520" s="142">
        <f t="shared" si="409"/>
        <v>0</v>
      </c>
      <c r="W520" s="141" t="str">
        <f>IF(V520="","",IF(SUM(V520-ref!E$38)&gt;0,0,IF(V520=0, "0:00", SUM(V520-ref!E$38))))</f>
        <v>0:00</v>
      </c>
      <c r="X520" s="137"/>
      <c r="Y520" s="92"/>
      <c r="Z520" s="247"/>
      <c r="AA520" s="142">
        <f t="shared" si="413"/>
        <v>0</v>
      </c>
      <c r="AB520" s="245" t="str">
        <f>IF(AA520="","",IF(SUM(AA520-ref!E$38)&gt;0,0,IF(AA520=0, "0:00", SUM(AA520-ref!E$38))))</f>
        <v>0:00</v>
      </c>
      <c r="AC520" s="29"/>
      <c r="AD520" s="106"/>
      <c r="AE520" s="118">
        <f>ref!E$11</f>
        <v>2</v>
      </c>
      <c r="AF520" s="77">
        <f t="shared" si="414"/>
        <v>0</v>
      </c>
      <c r="AG520" s="19"/>
      <c r="AH520" s="178" t="s">
        <v>76</v>
      </c>
      <c r="AI520" s="54" t="s">
        <v>68</v>
      </c>
      <c r="AJ520" s="177" t="s">
        <v>77</v>
      </c>
      <c r="AK520" s="55" t="str" cm="1">
        <f t="array" ref="AK520">IF(ISNUMBER(G521),G521-_xlfn.AGGREGATE(14,6,(K$4:K520&lt;G521)*K$4:K520,1),"")</f>
        <v/>
      </c>
      <c r="AL520" s="20" t="str">
        <f>IF(ISNUMBER(AK520),ABS(IF(SUM(AK520-ref!E$9)&gt;0,0,SUM(AK520-ref!E$9))),"")</f>
        <v/>
      </c>
      <c r="AQ520"/>
    </row>
    <row r="521" spans="2:43" ht="15.75" thickBot="1" x14ac:dyDescent="0.3">
      <c r="B521"/>
      <c r="C521"/>
      <c r="D521"/>
      <c r="E521" s="154">
        <f t="shared" si="410"/>
        <v>44193</v>
      </c>
      <c r="F521" s="165" t="s">
        <v>19</v>
      </c>
      <c r="G521" s="155" t="str">
        <f t="shared" si="407"/>
        <v/>
      </c>
      <c r="H521" s="29"/>
      <c r="I521" s="23">
        <f t="shared" si="411"/>
        <v>0</v>
      </c>
      <c r="J521" s="29"/>
      <c r="K521" s="46" t="str">
        <f t="shared" si="408"/>
        <v/>
      </c>
      <c r="L521" s="21">
        <f>IF(OR(F521="télétravail",F521="férié travaillé",F521="travail"),(J521-H521+IF(H521&gt;J521,1)-I531),INDEX(ref!$E$22:'ref'!$E$37,MATCH(F521,gerald3,0)))</f>
        <v>0</v>
      </c>
      <c r="M521" s="13">
        <f>IF(SUM(L521-ref!E$8)&lt;0,0,SUM(L521-ref!E$8))</f>
        <v>0</v>
      </c>
      <c r="N521" s="252">
        <f>L521-(hs!D520+hs!F520+hs!H520+hs!J520)</f>
        <v>0</v>
      </c>
      <c r="O521" s="8">
        <f>IF(OR(F521="férié travaillé",F521="travail",F521="asa",F521="rtt"),J521-H521+IF(H521&gt;J521,1),INDEX(ref!$E$22:'ref'!$E$37,MATCH(F521,gerald2,0)))</f>
        <v>0</v>
      </c>
      <c r="P521" s="14">
        <f>IF(SUM(O521-ref!E$4)&lt;0,0,SUM(O521-ref!E$4))</f>
        <v>0</v>
      </c>
      <c r="Q521" s="94">
        <f t="shared" si="412"/>
        <v>1.4583333333333335</v>
      </c>
      <c r="S521" s="138"/>
      <c r="T521" s="92"/>
      <c r="U521" s="129"/>
      <c r="V521" s="142">
        <f t="shared" si="409"/>
        <v>0</v>
      </c>
      <c r="W521" s="141" t="str">
        <f>IF(V521="","",IF(SUM(V521-ref!E$38)&gt;0,0,IF(V521=0, "0:00", SUM(V521-ref!E$38))))</f>
        <v>0:00</v>
      </c>
      <c r="X521" s="138"/>
      <c r="Y521" s="92"/>
      <c r="Z521" s="247"/>
      <c r="AA521" s="142">
        <f t="shared" si="413"/>
        <v>0</v>
      </c>
      <c r="AB521" s="246" t="str">
        <f>IF(AA521="","",IF(SUM(AA521-ref!E$38)&gt;0,0,IF(AA521=0, "0:00", SUM(AA521-ref!E$38))))</f>
        <v>0:00</v>
      </c>
      <c r="AC521" s="29"/>
      <c r="AD521" s="106"/>
      <c r="AE521" s="110">
        <f>IF(SUM(Q521-ref!E$11)&lt;0,0,SUM(Q521-ref!E$11))</f>
        <v>0</v>
      </c>
      <c r="AF521" s="77">
        <f t="shared" si="414"/>
        <v>0</v>
      </c>
      <c r="AG521" s="19"/>
      <c r="AQ521"/>
    </row>
    <row r="522" spans="2:43" x14ac:dyDescent="0.25">
      <c r="W522" s="74"/>
      <c r="X522" s="2"/>
      <c r="Z522"/>
      <c r="AA522" s="2"/>
      <c r="AB522" s="2"/>
      <c r="AC522" s="127"/>
    </row>
    <row r="523" spans="2:43" x14ac:dyDescent="0.25">
      <c r="X523" s="2"/>
      <c r="Z523"/>
      <c r="AA523" s="2"/>
      <c r="AB523" s="2"/>
      <c r="AC523" s="127"/>
      <c r="AQ523"/>
    </row>
    <row r="524" spans="2:43" ht="15.75" thickBot="1" x14ac:dyDescent="0.3">
      <c r="X524" s="2"/>
      <c r="Z524"/>
      <c r="AA524" s="2"/>
      <c r="AB524" s="2"/>
      <c r="AC524" s="127"/>
      <c r="AQ524"/>
    </row>
    <row r="525" spans="2:43" x14ac:dyDescent="0.25">
      <c r="B525" s="31" t="s">
        <v>1</v>
      </c>
      <c r="C525" s="91" t="s">
        <v>91</v>
      </c>
      <c r="D525" s="91"/>
      <c r="E525" s="154">
        <f>DATE(ref!E$2,B529,B527)</f>
        <v>44194</v>
      </c>
      <c r="F525" s="163" t="s">
        <v>22</v>
      </c>
      <c r="G525" s="155" t="str">
        <f t="shared" ref="G525:G531" si="415">IF(AND(J525="",H525=""),"",E525+H525)</f>
        <v/>
      </c>
      <c r="H525" s="29"/>
      <c r="I525" s="23">
        <f>SUM(V525+AA525+AC525)</f>
        <v>0</v>
      </c>
      <c r="J525" s="29"/>
      <c r="K525" s="46" t="str">
        <f t="shared" ref="K525:K531" si="416">IF(AND(H525="",J525=""),"",E525+J525+(H525&gt;J525))</f>
        <v/>
      </c>
      <c r="L525" s="21">
        <f>IF(OR(F525="télétravail",F525="férié travaillé",F525="travail"),(J525-H525+IF(H525&gt;J525,1)-I535),INDEX(ref!$E$22:'ref'!$E$37,MATCH(F525,gerald3,0)))</f>
        <v>0.29166666666666669</v>
      </c>
      <c r="M525" s="13">
        <f>IF(SUM(L525-ref!E$8)&lt;0,0,SUM(L525-ref!E$8))</f>
        <v>0</v>
      </c>
      <c r="N525" s="252">
        <f>L525-(hs!D524+hs!F524+hs!H524+hs!J524)</f>
        <v>0.29166666666666669</v>
      </c>
      <c r="O525" s="8">
        <f>IF(OR(F525="férié travaillé",F525="travail",F525="asa",F525="rtt"),J525-H525+IF(H525&gt;J525,1),INDEX(ref!$E$22:'ref'!$E$37,MATCH(F525,gerald2,0)))</f>
        <v>0.29166666666666669</v>
      </c>
      <c r="P525" s="14">
        <f>IF(SUM(O525-ref!E$4)&lt;0,0,SUM(O525-ref!E$4))</f>
        <v>0</v>
      </c>
      <c r="Q525" s="166">
        <f>L525</f>
        <v>0.29166666666666669</v>
      </c>
      <c r="S525" s="136"/>
      <c r="T525" s="92"/>
      <c r="U525" s="129"/>
      <c r="V525" s="142">
        <f t="shared" ref="V525:V531" si="417">U525-T525</f>
        <v>0</v>
      </c>
      <c r="W525" s="141" t="str">
        <f>IF(V525="","",IF(SUM(V525-ref!E$38)&gt;0,0,IF(V525=0, "0:00", SUM(V525-ref!E$38))))</f>
        <v>0:00</v>
      </c>
      <c r="X525" s="136"/>
      <c r="Y525" s="92"/>
      <c r="Z525" s="247"/>
      <c r="AA525" s="142">
        <f>Z525-Y525</f>
        <v>0</v>
      </c>
      <c r="AB525" s="244" t="str">
        <f>IF(AA525="","",IF(SUM(AA525-ref!E$38)&gt;0,0,IF(AA525=0, "0:00", SUM(AA525-ref!E$38))))</f>
        <v>0:00</v>
      </c>
      <c r="AC525" s="29"/>
      <c r="AD525" s="106"/>
      <c r="AE525" s="111">
        <f>SUM(AF525:AF531)</f>
        <v>2</v>
      </c>
      <c r="AF525" s="77">
        <f t="shared" ref="AF525:AF531" si="418">IF(AND(H525&lt;&gt;"",J525&lt;&gt;""),1,0+OR(N(J524)&lt;N(H524),F525="récupération",F525="congé 1 jour",F525="congé 1/2 jour ",F525="congé 5h24",F525="arrêt maladie",F525="arrêt travail",F525="férié ",F525="congé parentale",F525="congé de naissance"))</f>
        <v>1</v>
      </c>
      <c r="AG525" s="19"/>
      <c r="AH525" s="176" t="s">
        <v>71</v>
      </c>
      <c r="AI525" s="54" t="s">
        <v>68</v>
      </c>
      <c r="AJ525" s="177" t="s">
        <v>72</v>
      </c>
      <c r="AK525" s="55" t="str" cm="1">
        <f t="array" ref="AK525">IF(ISNUMBER(G526),G526-_xlfn.AGGREGATE(14,6,(K$4:K525&lt;G526)*K$4:K525,1),"")</f>
        <v/>
      </c>
      <c r="AL525" s="20" t="str">
        <f>IF(ISNUMBER(AK525),ABS(IF(SUM(AK525-ref!E$9)&gt;0,0,SUM(AK525-ref!E$9))),"")</f>
        <v/>
      </c>
      <c r="AQ525"/>
    </row>
    <row r="526" spans="2:43" x14ac:dyDescent="0.25">
      <c r="B526" s="32" t="s">
        <v>1</v>
      </c>
      <c r="C526" s="86" t="s">
        <v>91</v>
      </c>
      <c r="D526" s="86"/>
      <c r="E526" s="154">
        <f t="shared" ref="E526:E531" si="419">E525+1</f>
        <v>44195</v>
      </c>
      <c r="F526" s="164" t="s">
        <v>22</v>
      </c>
      <c r="G526" s="155" t="str">
        <f t="shared" si="415"/>
        <v/>
      </c>
      <c r="H526" s="29"/>
      <c r="I526" s="23">
        <f t="shared" ref="I526:I531" si="420">SUM(V526+AA526+AC526)</f>
        <v>0</v>
      </c>
      <c r="J526" s="29"/>
      <c r="K526" s="46" t="str">
        <f t="shared" si="416"/>
        <v/>
      </c>
      <c r="L526" s="21">
        <f>IF(OR(F526="télétravail",F526="férié travaillé",F526="travail"),(J526-H526+IF(H526&gt;J526,1)-I536),INDEX(ref!$E$22:'ref'!$E$37,MATCH(F526,gerald3,0)))</f>
        <v>0.29166666666666669</v>
      </c>
      <c r="M526" s="13">
        <f>IF(SUM(L526-ref!E$8)&lt;0,0,SUM(L526-ref!E$8))</f>
        <v>0</v>
      </c>
      <c r="N526" s="252">
        <f>L526-(hs!D525+hs!F525+hs!H525+hs!J525)</f>
        <v>0.29166666666666669</v>
      </c>
      <c r="O526" s="8">
        <f>IF(OR(F526="férié travaillé",F526="travail",F526="asa",F526="rtt"),J526-H526+IF(H526&gt;J526,1),INDEX(ref!$E$22:'ref'!$E$37,MATCH(F526,gerald2,0)))</f>
        <v>0.29166666666666669</v>
      </c>
      <c r="P526" s="14">
        <f>IF(SUM(O526-ref!E$4)&lt;0,0,SUM(O526-ref!E$4))</f>
        <v>0</v>
      </c>
      <c r="Q526" s="98">
        <f t="shared" ref="Q526:Q531" si="421">Q525+L526</f>
        <v>0.58333333333333337</v>
      </c>
      <c r="S526" s="137"/>
      <c r="T526" s="92"/>
      <c r="U526" s="129"/>
      <c r="V526" s="142">
        <f t="shared" si="417"/>
        <v>0</v>
      </c>
      <c r="W526" s="141" t="str">
        <f>IF(V526="","",IF(SUM(V526-ref!E$38)&gt;0,0,IF(V526=0, "0:00", SUM(V526-ref!E$38))))</f>
        <v>0:00</v>
      </c>
      <c r="X526" s="137"/>
      <c r="Y526" s="92"/>
      <c r="Z526" s="247"/>
      <c r="AA526" s="142">
        <f t="shared" ref="AA526:AA531" si="422">Z526-Y526</f>
        <v>0</v>
      </c>
      <c r="AB526" s="245" t="str">
        <f>IF(AA526="","",IF(SUM(AA526-ref!E$38)&gt;0,0,IF(AA526=0, "0:00", SUM(AA526-ref!E$38))))</f>
        <v>0:00</v>
      </c>
      <c r="AC526" s="29"/>
      <c r="AD526" s="106"/>
      <c r="AE526" s="112">
        <f>IF(SUM(AE525-ref!E$7)&lt;0,0,SUM(AE525-ref!E$7))</f>
        <v>0</v>
      </c>
      <c r="AF526" s="77">
        <f t="shared" si="418"/>
        <v>1</v>
      </c>
      <c r="AG526" s="19"/>
      <c r="AH526" s="178" t="s">
        <v>72</v>
      </c>
      <c r="AI526" s="54" t="s">
        <v>68</v>
      </c>
      <c r="AJ526" s="177" t="s">
        <v>73</v>
      </c>
      <c r="AK526" s="55" t="str" cm="1">
        <f t="array" ref="AK526">IF(ISNUMBER(G527),G527-_xlfn.AGGREGATE(14,6,(K$4:K526&lt;G527)*K$4:K526,1),"")</f>
        <v/>
      </c>
      <c r="AL526" s="20" t="str">
        <f>IF(ISNUMBER(AK526),ABS(IF(SUM(AK526-ref!E$9)&gt;0,0,SUM(AK526-ref!E$9))),"")</f>
        <v/>
      </c>
      <c r="AQ526"/>
    </row>
    <row r="527" spans="2:43" x14ac:dyDescent="0.25">
      <c r="B527" s="33">
        <v>30</v>
      </c>
      <c r="C527" s="84"/>
      <c r="D527" s="84"/>
      <c r="E527" s="154">
        <f t="shared" si="419"/>
        <v>44196</v>
      </c>
      <c r="F527" s="164" t="s">
        <v>19</v>
      </c>
      <c r="G527" s="155" t="str">
        <f t="shared" si="415"/>
        <v/>
      </c>
      <c r="H527" s="29"/>
      <c r="I527" s="23">
        <f t="shared" si="420"/>
        <v>0</v>
      </c>
      <c r="J527" s="29"/>
      <c r="K527" s="46" t="str">
        <f t="shared" si="416"/>
        <v/>
      </c>
      <c r="L527" s="21">
        <f>IF(OR(F527="télétravail",F527="férié travaillé",F527="travail"),(J527-H527+IF(H527&gt;J527,1)-I537),INDEX(ref!$E$22:'ref'!$E$37,MATCH(F527,gerald3,0)))</f>
        <v>0</v>
      </c>
      <c r="M527" s="13">
        <f>IF(SUM(L527-ref!E$8)&lt;0,0,SUM(L527-ref!E$8))</f>
        <v>0</v>
      </c>
      <c r="N527" s="252">
        <f>L527-(hs!D526+hs!F526+hs!H526+hs!J526)</f>
        <v>0</v>
      </c>
      <c r="O527" s="8">
        <f>IF(OR(F527="férié travaillé",F527="travail",F527="asa",F527="rtt"),J527-H527+IF(H527&gt;J527,1),INDEX(ref!$E$22:'ref'!$E$37,MATCH(F527,gerald2,0)))</f>
        <v>0</v>
      </c>
      <c r="P527" s="14">
        <f>IF(SUM(O527-ref!E$4)&lt;0,0,SUM(O527-ref!E$4))</f>
        <v>0</v>
      </c>
      <c r="Q527" s="98">
        <f t="shared" si="421"/>
        <v>0.58333333333333337</v>
      </c>
      <c r="S527" s="137"/>
      <c r="T527" s="92"/>
      <c r="U527" s="129"/>
      <c r="V527" s="142">
        <f t="shared" si="417"/>
        <v>0</v>
      </c>
      <c r="W527" s="141" t="str">
        <f>IF(V527="","",IF(SUM(V527-ref!E$38)&gt;0,0,IF(V527=0, "0:00", SUM(V527-ref!E$38))))</f>
        <v>0:00</v>
      </c>
      <c r="X527" s="137"/>
      <c r="Y527" s="92"/>
      <c r="Z527" s="247"/>
      <c r="AA527" s="142">
        <f t="shared" si="422"/>
        <v>0</v>
      </c>
      <c r="AB527" s="245" t="str">
        <f>IF(AA527="","",IF(SUM(AA527-ref!E$38)&gt;0,0,IF(AA527=0, "0:00", SUM(AA527-ref!E$38))))</f>
        <v>0:00</v>
      </c>
      <c r="AC527" s="29"/>
      <c r="AD527" s="106"/>
      <c r="AE527" s="113" t="s">
        <v>29</v>
      </c>
      <c r="AF527" s="77">
        <f t="shared" si="418"/>
        <v>0</v>
      </c>
      <c r="AG527" s="19"/>
      <c r="AH527" s="178" t="s">
        <v>73</v>
      </c>
      <c r="AI527" s="54" t="s">
        <v>68</v>
      </c>
      <c r="AJ527" s="177" t="s">
        <v>74</v>
      </c>
      <c r="AK527" s="55" t="str" cm="1">
        <f t="array" ref="AK527">IF(ISNUMBER(G528),G528-_xlfn.AGGREGATE(14,6,(K$4:K527&lt;G528)*K$4:K527,1),"")</f>
        <v/>
      </c>
      <c r="AL527" s="20" t="str">
        <f>IF(ISNUMBER(AK527),ABS(IF(SUM(AK527-ref!E$9)&gt;0,0,SUM(AK527-ref!E$9))),"")</f>
        <v/>
      </c>
      <c r="AQ527"/>
    </row>
    <row r="528" spans="2:43" x14ac:dyDescent="0.25">
      <c r="B528" s="32" t="s">
        <v>58</v>
      </c>
      <c r="C528" s="84"/>
      <c r="D528" s="84"/>
      <c r="E528" s="154">
        <f t="shared" si="419"/>
        <v>44197</v>
      </c>
      <c r="F528" s="164" t="s">
        <v>19</v>
      </c>
      <c r="G528" s="155" t="str">
        <f t="shared" si="415"/>
        <v/>
      </c>
      <c r="H528" s="29"/>
      <c r="I528" s="23">
        <f t="shared" si="420"/>
        <v>0</v>
      </c>
      <c r="J528" s="29"/>
      <c r="K528" s="46" t="str">
        <f t="shared" si="416"/>
        <v/>
      </c>
      <c r="L528" s="21">
        <f>IF(OR(F528="télétravail",F528="férié travaillé",F528="travail"),(J528-H528+IF(H528&gt;J528,1)-I538),INDEX(ref!$E$22:'ref'!$E$37,MATCH(F528,gerald3,0)))</f>
        <v>0</v>
      </c>
      <c r="M528" s="13">
        <f>IF(SUM(L528-ref!E$8)&lt;0,0,SUM(L528-ref!E$8))</f>
        <v>0</v>
      </c>
      <c r="N528" s="252">
        <f>L528-(hs!D527+hs!F527+hs!H527+hs!J527)</f>
        <v>0</v>
      </c>
      <c r="O528" s="8">
        <f>IF(OR(F528="férié travaillé",F528="travail",F528="asa",F528="rtt"),J528-H528+IF(H528&gt;J528,1),INDEX(ref!$E$22:'ref'!$E$37,MATCH(F528,gerald2,0)))</f>
        <v>0</v>
      </c>
      <c r="P528" s="14">
        <f>IF(SUM(O528-ref!E$4)&lt;0,0,SUM(O528-ref!E$4))</f>
        <v>0</v>
      </c>
      <c r="Q528" s="98">
        <f t="shared" si="421"/>
        <v>0.58333333333333337</v>
      </c>
      <c r="S528" s="137"/>
      <c r="T528" s="92"/>
      <c r="U528" s="129"/>
      <c r="V528" s="142">
        <f t="shared" si="417"/>
        <v>0</v>
      </c>
      <c r="W528" s="141" t="str">
        <f>IF(V528="","",IF(SUM(V528-ref!E$38)&gt;0,0,IF(V528=0, "0:00", SUM(V528-ref!E$38))))</f>
        <v>0:00</v>
      </c>
      <c r="X528" s="137"/>
      <c r="Y528" s="92"/>
      <c r="Z528" s="247"/>
      <c r="AA528" s="142">
        <f t="shared" si="422"/>
        <v>0</v>
      </c>
      <c r="AB528" s="245" t="str">
        <f>IF(AA528="","",IF(SUM(AA528-ref!E$38)&gt;0,0,IF(AA528=0, "0:00", SUM(AA528-ref!E$38))))</f>
        <v>0:00</v>
      </c>
      <c r="AC528" s="29"/>
      <c r="AD528" s="106"/>
      <c r="AE528" s="114">
        <f>Q531</f>
        <v>0.58333333333333337</v>
      </c>
      <c r="AF528" s="77">
        <f t="shared" si="418"/>
        <v>0</v>
      </c>
      <c r="AG528" s="19"/>
      <c r="AH528" s="178" t="s">
        <v>74</v>
      </c>
      <c r="AI528" s="54" t="s">
        <v>68</v>
      </c>
      <c r="AJ528" s="177" t="s">
        <v>75</v>
      </c>
      <c r="AK528" s="55" t="str" cm="1">
        <f t="array" ref="AK528">IF(ISNUMBER(G529),G529-_xlfn.AGGREGATE(14,6,(K$4:K528&lt;G529)*K$4:K528,1),"")</f>
        <v/>
      </c>
      <c r="AL528" s="20" t="str">
        <f>IF(ISNUMBER(AK528),ABS(IF(SUM(AK528-ref!E$9)&gt;0,0,SUM(AK528-ref!E$9))),"")</f>
        <v/>
      </c>
      <c r="AQ528"/>
    </row>
    <row r="529" spans="2:43" x14ac:dyDescent="0.25">
      <c r="B529" s="30">
        <v>12</v>
      </c>
      <c r="C529" s="84"/>
      <c r="D529" s="84"/>
      <c r="E529" s="154">
        <f t="shared" si="419"/>
        <v>44198</v>
      </c>
      <c r="F529" s="164" t="s">
        <v>19</v>
      </c>
      <c r="G529" s="155" t="str">
        <f t="shared" si="415"/>
        <v/>
      </c>
      <c r="H529" s="29"/>
      <c r="I529" s="23">
        <f t="shared" si="420"/>
        <v>0</v>
      </c>
      <c r="J529" s="29"/>
      <c r="K529" s="46" t="str">
        <f t="shared" si="416"/>
        <v/>
      </c>
      <c r="L529" s="21">
        <f>IF(OR(F529="télétravail",F529="férié travaillé",F529="travail"),(J529-H529+IF(H529&gt;J529,1)-I539),INDEX(ref!$E$22:'ref'!$E$37,MATCH(F529,gerald3,0)))</f>
        <v>0</v>
      </c>
      <c r="M529" s="13">
        <f>IF(SUM(L529-ref!E$8)&lt;0,0,SUM(L529-ref!E$8))</f>
        <v>0</v>
      </c>
      <c r="N529" s="252">
        <f>L529-(hs!D528+hs!F528+hs!H528+hs!J528)</f>
        <v>0</v>
      </c>
      <c r="O529" s="8">
        <f>IF(OR(F529="férié travaillé",F529="travail",F529="asa",F529="rtt"),J529-H529+IF(H529&gt;J529,1),INDEX(ref!$E$22:'ref'!$E$37,MATCH(F529,gerald2,0)))</f>
        <v>0</v>
      </c>
      <c r="P529" s="14">
        <f>IF(SUM(O529-ref!E$4)&lt;0,0,SUM(O529-ref!E$4))</f>
        <v>0</v>
      </c>
      <c r="Q529" s="98">
        <f t="shared" si="421"/>
        <v>0.58333333333333337</v>
      </c>
      <c r="S529" s="137"/>
      <c r="T529" s="92"/>
      <c r="U529" s="129"/>
      <c r="V529" s="142">
        <f t="shared" si="417"/>
        <v>0</v>
      </c>
      <c r="W529" s="141" t="str">
        <f>IF(V529="","",IF(SUM(V529-ref!E$38)&gt;0,0,IF(V529=0, "0:00", SUM(V529-ref!E$38))))</f>
        <v>0:00</v>
      </c>
      <c r="X529" s="137"/>
      <c r="Y529" s="92"/>
      <c r="Z529" s="247"/>
      <c r="AA529" s="142">
        <f t="shared" si="422"/>
        <v>0</v>
      </c>
      <c r="AB529" s="245" t="str">
        <f>IF(AA529="","",IF(SUM(AA529-ref!E$38)&gt;0,0,IF(AA529=0, "0:00", SUM(AA529-ref!E$38))))</f>
        <v>0:00</v>
      </c>
      <c r="AC529" s="29"/>
      <c r="AD529" s="106"/>
      <c r="AE529" s="117" t="s">
        <v>47</v>
      </c>
      <c r="AF529" s="77">
        <f t="shared" si="418"/>
        <v>0</v>
      </c>
      <c r="AG529" s="19"/>
      <c r="AH529" s="178" t="s">
        <v>75</v>
      </c>
      <c r="AI529" s="54" t="s">
        <v>68</v>
      </c>
      <c r="AJ529" s="177" t="s">
        <v>76</v>
      </c>
      <c r="AK529" s="55" t="str" cm="1">
        <f t="array" ref="AK529">IF(ISNUMBER(G530),G530-_xlfn.AGGREGATE(14,6,(K$4:K529&lt;G530)*K$4:K529,1),"")</f>
        <v/>
      </c>
      <c r="AL529" s="20" t="str">
        <f>IF(ISNUMBER(AK529),ABS(IF(SUM(AK529-ref!E$9)&gt;0,0,SUM(AK529-ref!E$9))),"")</f>
        <v/>
      </c>
      <c r="AQ529"/>
    </row>
    <row r="530" spans="2:43" ht="15.75" thickBot="1" x14ac:dyDescent="0.3">
      <c r="B530"/>
      <c r="C530"/>
      <c r="D530"/>
      <c r="E530" s="154">
        <f t="shared" si="419"/>
        <v>44199</v>
      </c>
      <c r="F530" s="164" t="s">
        <v>19</v>
      </c>
      <c r="G530" s="155" t="str">
        <f t="shared" si="415"/>
        <v/>
      </c>
      <c r="H530" s="29"/>
      <c r="I530" s="23">
        <f t="shared" si="420"/>
        <v>0</v>
      </c>
      <c r="J530" s="29"/>
      <c r="K530" s="46" t="str">
        <f t="shared" si="416"/>
        <v/>
      </c>
      <c r="L530" s="21">
        <f>IF(OR(F530="télétravail",F530="férié travaillé",F530="travail"),(J530-H530+IF(H530&gt;J530,1)-I540),INDEX(ref!$E$22:'ref'!$E$37,MATCH(F530,gerald3,0)))</f>
        <v>0</v>
      </c>
      <c r="M530" s="13">
        <f>IF(SUM(L530-ref!E$8)&lt;0,0,SUM(L530-ref!E$8))</f>
        <v>0</v>
      </c>
      <c r="N530" s="252">
        <f>L530-(hs!D529+hs!F529+hs!H529+hs!J529)</f>
        <v>0</v>
      </c>
      <c r="O530" s="8">
        <f>IF(OR(F530="férié travaillé",F530="travail",F530="asa",F530="rtt"),J530-H530+IF(H530&gt;J530,1),INDEX(ref!$E$22:'ref'!$E$37,MATCH(F530,gerald2,0)))</f>
        <v>0</v>
      </c>
      <c r="P530" s="14">
        <f>IF(SUM(O530-ref!E$4)&lt;0,0,SUM(O530-ref!E$4))</f>
        <v>0</v>
      </c>
      <c r="Q530" s="97">
        <f t="shared" si="421"/>
        <v>0.58333333333333337</v>
      </c>
      <c r="S530" s="137"/>
      <c r="T530" s="92"/>
      <c r="U530" s="129"/>
      <c r="V530" s="142">
        <f t="shared" si="417"/>
        <v>0</v>
      </c>
      <c r="W530" s="141" t="str">
        <f>IF(V530="","",IF(SUM(V530-ref!E$38)&gt;0,0,IF(V530=0, "0:00", SUM(V530-ref!E$38))))</f>
        <v>0:00</v>
      </c>
      <c r="X530" s="137"/>
      <c r="Y530" s="92"/>
      <c r="Z530" s="247"/>
      <c r="AA530" s="142">
        <f t="shared" si="422"/>
        <v>0</v>
      </c>
      <c r="AB530" s="245" t="str">
        <f>IF(AA530="","",IF(SUM(AA530-ref!E$38)&gt;0,0,IF(AA530=0, "0:00", SUM(AA530-ref!E$38))))</f>
        <v>0:00</v>
      </c>
      <c r="AC530" s="29"/>
      <c r="AD530" s="106"/>
      <c r="AE530" s="118">
        <f>ref!E$11</f>
        <v>2</v>
      </c>
      <c r="AF530" s="77">
        <f t="shared" si="418"/>
        <v>0</v>
      </c>
      <c r="AG530" s="19"/>
      <c r="AH530" s="178" t="s">
        <v>76</v>
      </c>
      <c r="AI530" s="54" t="s">
        <v>68</v>
      </c>
      <c r="AJ530" s="177" t="s">
        <v>77</v>
      </c>
      <c r="AK530" s="55" t="str" cm="1">
        <f t="array" ref="AK530">IF(ISNUMBER(G531),G531-_xlfn.AGGREGATE(14,6,(K$4:K530&lt;G531)*K$4:K530,1),"")</f>
        <v/>
      </c>
      <c r="AL530" s="20" t="str">
        <f>IF(ISNUMBER(AK530),ABS(IF(SUM(AK530-ref!E$9)&gt;0,0,SUM(AK530-ref!E$9))),"")</f>
        <v/>
      </c>
      <c r="AQ530"/>
    </row>
    <row r="531" spans="2:43" ht="15.75" thickBot="1" x14ac:dyDescent="0.3">
      <c r="B531"/>
      <c r="C531"/>
      <c r="D531"/>
      <c r="E531" s="154">
        <f t="shared" si="419"/>
        <v>44200</v>
      </c>
      <c r="F531" s="165" t="s">
        <v>19</v>
      </c>
      <c r="G531" s="155" t="str">
        <f t="shared" si="415"/>
        <v/>
      </c>
      <c r="H531" s="29"/>
      <c r="I531" s="23">
        <f t="shared" si="420"/>
        <v>0</v>
      </c>
      <c r="J531" s="29"/>
      <c r="K531" s="46" t="str">
        <f t="shared" si="416"/>
        <v/>
      </c>
      <c r="L531" s="21">
        <f>IF(OR(F531="télétravail",F531="férié travaillé",F531="travail"),(J531-H531+IF(H531&gt;J531,1)-I541),INDEX(ref!$E$22:'ref'!$E$37,MATCH(F531,gerald3,0)))</f>
        <v>0</v>
      </c>
      <c r="M531" s="13">
        <f>IF(SUM(L531-ref!E$8)&lt;0,0,SUM(L531-ref!E$8))</f>
        <v>0</v>
      </c>
      <c r="N531" s="252">
        <f>L531-(hs!D530+hs!F530+hs!H530+hs!J530)</f>
        <v>0</v>
      </c>
      <c r="O531" s="8">
        <f>IF(OR(F531="férié travaillé",F531="travail",F531="asa",F531="rtt"),J531-H531+IF(H531&gt;J531,1),INDEX(ref!$E$22:'ref'!$E$37,MATCH(F531,gerald2,0)))</f>
        <v>0</v>
      </c>
      <c r="P531" s="14">
        <f>IF(SUM(O531-ref!E$4)&lt;0,0,SUM(O531-ref!E$4))</f>
        <v>0</v>
      </c>
      <c r="Q531" s="94">
        <f t="shared" si="421"/>
        <v>0.58333333333333337</v>
      </c>
      <c r="S531" s="138"/>
      <c r="T531" s="92"/>
      <c r="U531" s="129"/>
      <c r="V531" s="142">
        <f t="shared" si="417"/>
        <v>0</v>
      </c>
      <c r="W531" s="141" t="str">
        <f>IF(V531="","",IF(SUM(V531-ref!E$38)&gt;0,0,IF(V531=0, "0:00", SUM(V531-ref!E$38))))</f>
        <v>0:00</v>
      </c>
      <c r="X531" s="138"/>
      <c r="Y531" s="92"/>
      <c r="Z531" s="247"/>
      <c r="AA531" s="142">
        <f t="shared" si="422"/>
        <v>0</v>
      </c>
      <c r="AB531" s="246" t="str">
        <f>IF(AA531="","",IF(SUM(AA531-ref!E$38)&gt;0,0,IF(AA531=0, "0:00", SUM(AA531-ref!E$38))))</f>
        <v>0:00</v>
      </c>
      <c r="AC531" s="29"/>
      <c r="AD531" s="106"/>
      <c r="AE531" s="110">
        <f>IF(SUM(Q531-ref!E$11)&lt;0,0,SUM(Q531-ref!E$11))</f>
        <v>0</v>
      </c>
      <c r="AF531" s="77">
        <f t="shared" si="418"/>
        <v>0</v>
      </c>
      <c r="AG531" s="19"/>
      <c r="AQ531"/>
    </row>
    <row r="532" spans="2:43" x14ac:dyDescent="0.25">
      <c r="AN532" s="2"/>
    </row>
    <row r="533" spans="2:43" x14ac:dyDescent="0.25">
      <c r="AN533" s="2"/>
    </row>
    <row r="534" spans="2:43" x14ac:dyDescent="0.25">
      <c r="AJ534" s="2"/>
      <c r="AN534" s="2"/>
    </row>
    <row r="535" spans="2:43" x14ac:dyDescent="0.25">
      <c r="AJ535" s="2"/>
      <c r="AN535" s="2"/>
    </row>
    <row r="536" spans="2:43" x14ac:dyDescent="0.25">
      <c r="AJ536" s="2"/>
      <c r="AM536" s="2"/>
      <c r="AN536" s="2"/>
    </row>
    <row r="537" spans="2:43" x14ac:dyDescent="0.25">
      <c r="AJ537" s="2"/>
      <c r="AM537" s="2"/>
      <c r="AN537" s="2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gerald2" sqref="F5:F11 F15:F21 F25:F31 F35:F41 F45:F51 F55:F61 F65:F71 F75:F81 F85:F91 F95:F101 F105:F111 F115:F121 F125:F131 F135:F141 F145:F151 F155:F161 F165:F171 F175:F181 F185:F191 F195:F201 F205:F211 F525:F531 F225:F231 F235:F241 F245:F251 F255:F261 F265:F271 F275:F281 F285:F291 F295:F301 F305:F311 F315:F321 F325:F331 F335:F341 F345:F351 F355:F361 F215:F221 F365:F371 F375:F381 F385:F391 F405:F411 F395:F401 F415:F421 F425:F431 F435:F441 F445:F451 F455:F461 F465:F471 F475:F481 F485:F491 F495:F501 F515:F521 F505:F511" xr:uid="{00000000-0002-0000-0100-000000000000}">
      <formula1>gerald3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F3746D-D1DD-4784-9890-5D74D05A79DE}">
          <x14:formula1>
            <xm:f>ref!$Q$4:$Q$5</xm:f>
          </x14:formula1>
          <xm:sqref>X495:X501 X525:X531 X505:X511 X475:X481 X465:X471 X455:X461 X445:X451 X435:X441 X425:X431 X415:X421 X405:X411 X395:X401 X385:X391 X375:X381 X365:X371 X355:X361 X345:X351 X335:X341 X325:X331 X315:X321 X305:X311 X485:X491 S525:S531 S515:S521 S505:S511 S495:S501 S485:S491 S475:S481 S465:S471 S455:S461 S445:S451 S435:S441 S425:S431 S415:S421 S405:S411 S395:S401 S385:S391 S375:S381 S365:S371 S355:S361 S345:S351 S335:S341 S325:S331 S315:S321 S305:S311 S295:S301 S285:S291 S275:S281 S265:S271 S255:S261 S245:S251 S235:S241 S225:S231 S215:S221 S205:S211 S195:S201 S185:S191 S175:S181 S165:S171 S155:S161 S145:S151 S135:S141 S125:S131 S115:S121 S105:S111 S95:S101 S85:S91 S75:S81 S65:S71 S55:S61 S45:S51 S35:S41 S25:S31 S15:S21 S5:S11 X515:X521 X295:X301 X285:X291 X275:X281 X265:X271 X255:X261 X245:X251 X235:X241 X225:X231 X215:X221 X205:X211 X195:X201 X185:X191 X175:X181 X165:X171 X155:X161 X145:X151 X135:X141 X125:X131 X115:X121 X105:X111 X95:X101 X85:X91 X75:X81 X65:X71 X55:X61 X45:X51 X35:X41 X25:X31 X15:X21 X5:X11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3D6B-34A6-4D21-B0A7-62A3114F06EE}">
  <dimension ref="B1:Q534"/>
  <sheetViews>
    <sheetView tabSelected="1" workbookViewId="0">
      <selection activeCell="J14" sqref="J14"/>
    </sheetView>
  </sheetViews>
  <sheetFormatPr baseColWidth="10" defaultRowHeight="15" x14ac:dyDescent="0.25"/>
  <cols>
    <col min="1" max="1" width="1" customWidth="1"/>
    <col min="2" max="2" width="20.5703125" customWidth="1"/>
    <col min="3" max="3" width="25.85546875" customWidth="1"/>
    <col min="4" max="4" width="11.85546875" customWidth="1"/>
    <col min="5" max="5" width="16" customWidth="1"/>
    <col min="6" max="6" width="14.7109375" customWidth="1"/>
    <col min="7" max="7" width="15.7109375" customWidth="1"/>
    <col min="9" max="9" width="13.140625" customWidth="1"/>
    <col min="11" max="11" width="11.42578125" customWidth="1"/>
    <col min="12" max="12" width="4.5703125" customWidth="1"/>
    <col min="13" max="13" width="15.140625" customWidth="1"/>
    <col min="15" max="15" width="14.140625" customWidth="1"/>
    <col min="16" max="16" width="12.7109375" customWidth="1"/>
  </cols>
  <sheetData>
    <row r="1" spans="2:17" x14ac:dyDescent="0.25">
      <c r="B1" s="17"/>
      <c r="C1" s="228" t="s">
        <v>123</v>
      </c>
      <c r="D1" s="229">
        <v>0.25</v>
      </c>
      <c r="E1" s="229"/>
      <c r="F1" s="230">
        <v>0.77083333333333337</v>
      </c>
      <c r="G1" s="229"/>
      <c r="H1" s="230">
        <v>0.91666666666666663</v>
      </c>
      <c r="I1" s="229"/>
      <c r="J1" s="230">
        <v>1</v>
      </c>
      <c r="K1" s="229"/>
    </row>
    <row r="2" spans="2:17" x14ac:dyDescent="0.25">
      <c r="B2" s="17"/>
      <c r="C2" s="228" t="s">
        <v>94</v>
      </c>
      <c r="D2" s="229">
        <v>0.77083333333333337</v>
      </c>
      <c r="E2" s="229"/>
      <c r="F2" s="229">
        <v>0.91666666666666663</v>
      </c>
      <c r="G2" s="229"/>
      <c r="H2" s="230">
        <v>1</v>
      </c>
      <c r="I2" s="229"/>
      <c r="J2" s="230">
        <v>0.25</v>
      </c>
      <c r="K2" s="229"/>
    </row>
    <row r="3" spans="2:17" ht="15.75" thickBot="1" x14ac:dyDescent="0.3">
      <c r="B3" s="17"/>
      <c r="C3" s="228"/>
      <c r="D3" s="229"/>
      <c r="E3" s="229"/>
      <c r="F3" s="230"/>
      <c r="G3" s="229"/>
      <c r="H3" s="230"/>
      <c r="I3" s="229"/>
      <c r="J3" s="229"/>
      <c r="K3" s="229"/>
    </row>
    <row r="4" spans="2:17" x14ac:dyDescent="0.25">
      <c r="B4" s="231" t="str">
        <f>'planning '!F5</f>
        <v xml:space="preserve">férié </v>
      </c>
      <c r="C4" s="232">
        <f>'planning '!E5</f>
        <v>43830</v>
      </c>
      <c r="D4" s="233"/>
      <c r="E4" s="239"/>
      <c r="F4" s="235">
        <f>IF(OR('planning '!$H5="",'planning '!$J5=""),0,IF('planning '!$J5&gt;'planning '!$H5,MEDIAN('planning '!$J5,F$2,F$1)-MEDIAN('planning '!$H5,F$2,F$1),+('planning '!$J5&lt;'planning '!$H5)*(F$2-F$1)+MEDIAN('planning '!$J5,F$1,F$2)-MEDIAN('planning '!$H5,F$1,F$2)))-'planning '!AA5</f>
        <v>0</v>
      </c>
      <c r="G4" s="236"/>
      <c r="H4" s="235">
        <f>IF(OR('planning '!$H5="",'planning '!$J5=""),0,IF('planning '!$J5&gt;'planning '!$H5,MEDIAN('planning '!$J5,H$2,H$1)-MEDIAN('planning '!$H5,H$2,H$1),+('planning '!$J5&lt;'planning '!$H5)*(H$2-H$1)+MEDIAN('planning '!$J5,H$1,H$2)-MEDIAN('planning '!$H5,H$1,H$2)))</f>
        <v>0</v>
      </c>
      <c r="I4" s="236"/>
      <c r="J4" s="234">
        <f>IF(OR('planning '!$H5="",'planning '!$J5=""),0,IF('planning '!$J5&gt;'planning '!$H5,MEDIAN('planning '!$J5,J$2,J$1)-MEDIAN('planning '!$H5,J$2,J$1),+('planning '!$J5&lt;'planning '!$H5)*(J$2-J$1)+MEDIAN('planning '!$J5,J$1,J$2)-MEDIAN('planning '!$H5,J$1,J$2)))</f>
        <v>0</v>
      </c>
      <c r="K4" s="236"/>
      <c r="M4" s="17"/>
      <c r="N4" s="264"/>
      <c r="O4" s="265" t="s">
        <v>114</v>
      </c>
      <c r="P4" s="266"/>
      <c r="Q4" s="17"/>
    </row>
    <row r="5" spans="2:17" x14ac:dyDescent="0.25">
      <c r="B5" s="231" t="str">
        <f>'planning '!F6</f>
        <v>récupération</v>
      </c>
      <c r="C5" s="232">
        <f>C4+1</f>
        <v>43831</v>
      </c>
      <c r="D5" s="233"/>
      <c r="E5" s="240"/>
      <c r="F5" s="235">
        <f>IF(OR('planning '!$H6="",'planning '!$J6=""),0,IF('planning '!$J6&gt;'planning '!$H6,MEDIAN('planning '!$J6,F$2,F$1)-MEDIAN('planning '!$H6,F$2,F$1),+('planning '!$J6&lt;'planning '!$H6)*(F$2-F$1)+MEDIAN('planning '!$J6,F$1,F$2)-MEDIAN('planning '!$H6,F$1,F$2)))-'planning '!AA6</f>
        <v>0</v>
      </c>
      <c r="G5" s="237"/>
      <c r="H5" s="235">
        <f>IF(OR('planning '!$H6="",'planning '!$J6=""),0,IF('planning '!$J6&gt;'planning '!$H6,MEDIAN('planning '!$J6,H$2,H$1)-MEDIAN('planning '!$H6,H$2,H$1),+('planning '!$J6&lt;'planning '!$H6)*(H$2-H$1)+MEDIAN('planning '!$J6,H$1,H$2)-MEDIAN('planning '!$H6,H$1,H$2)))</f>
        <v>0</v>
      </c>
      <c r="I5" s="237"/>
      <c r="J5" s="234">
        <f>IF(OR('planning '!$H6="",'planning '!$J6=""),0,IF('planning '!$J6&gt;'planning '!$H6,MEDIAN('planning '!$J6,J$2,J$1)-MEDIAN('planning '!$H6,J$2,J$1),+('planning '!$J6&lt;'planning '!$H6)*(J$2-J$1)+MEDIAN('planning '!$J6,J$1,J$2)-MEDIAN('planning '!$H6,J$1,J$2)))</f>
        <v>0</v>
      </c>
      <c r="K5" s="237"/>
      <c r="M5" s="17"/>
      <c r="N5" s="263" t="s">
        <v>117</v>
      </c>
      <c r="O5" s="263" t="s">
        <v>115</v>
      </c>
      <c r="P5" s="263" t="s">
        <v>116</v>
      </c>
      <c r="Q5" s="243" t="s">
        <v>118</v>
      </c>
    </row>
    <row r="6" spans="2:17" x14ac:dyDescent="0.25">
      <c r="B6" s="231" t="str">
        <f>'planning '!F7</f>
        <v>récupération</v>
      </c>
      <c r="C6" s="232">
        <f>C5+1</f>
        <v>43832</v>
      </c>
      <c r="D6" s="233"/>
      <c r="E6" s="240"/>
      <c r="F6" s="235">
        <f>IF(OR('planning '!$H7="",'planning '!$J7=""),0,IF('planning '!$J7&gt;'planning '!$H7,MEDIAN('planning '!$J7,F$2,F$1)-MEDIAN('planning '!$H7,F$2,F$1),+('planning '!$J7&lt;'planning '!$H7)*(F$2-F$1)+MEDIAN('planning '!$J7,F$1,F$2)-MEDIAN('planning '!$H7,F$1,F$2)))-'planning '!AA7</f>
        <v>0</v>
      </c>
      <c r="G6" s="237"/>
      <c r="H6" s="235">
        <f>IF(OR('planning '!$H7="",'planning '!$J7=""),0,IF('planning '!$J7&gt;'planning '!$H7,MEDIAN('planning '!$J7,H$2,H$1)-MEDIAN('planning '!$H7,H$2,H$1),+('planning '!$J7&lt;'planning '!$H7)*(H$2-H$1)+MEDIAN('planning '!$J7,H$1,H$2)-MEDIAN('planning '!$H7,H$1,H$2)))</f>
        <v>0</v>
      </c>
      <c r="I6" s="237"/>
      <c r="J6" s="234">
        <f>IF(OR('planning '!$H7="",'planning '!$J7=""),0,IF('planning '!$J7&gt;'planning '!$H7,MEDIAN('planning '!$J7,J$2,J$1)-MEDIAN('planning '!$H7,J$2,J$1),+('planning '!$J7&lt;'planning '!$H7)*(J$2-J$1)+MEDIAN('planning '!$J7,J$1,J$2)-MEDIAN('planning '!$H7,J$1,J$2)))</f>
        <v>0</v>
      </c>
      <c r="K6" s="237"/>
      <c r="M6" s="231" t="s">
        <v>111</v>
      </c>
      <c r="N6" s="261">
        <f t="shared" ref="N6:Q7" ca="1" si="0">SUMIF(OFFSET($C4:$C11,0,MATCH(N$10,$B$5:$H$5,0)-1,7,1),$K7,OFFSET($B4:$B10,0,MATCH(N$10,$B$5:$H$5,0)-1,7,1))</f>
        <v>0</v>
      </c>
      <c r="O6" s="261">
        <f t="shared" ca="1" si="0"/>
        <v>0</v>
      </c>
      <c r="P6" s="261">
        <f t="shared" ca="1" si="0"/>
        <v>0</v>
      </c>
      <c r="Q6" s="261">
        <f t="shared" ca="1" si="0"/>
        <v>0</v>
      </c>
    </row>
    <row r="7" spans="2:17" x14ac:dyDescent="0.25">
      <c r="B7" s="231" t="str">
        <f>'planning '!F8</f>
        <v>récupération</v>
      </c>
      <c r="C7" s="232">
        <f t="shared" ref="C7:C10" si="1">C6+1</f>
        <v>43833</v>
      </c>
      <c r="D7" s="233"/>
      <c r="E7" s="240"/>
      <c r="F7" s="235">
        <f>IF(OR('planning '!$H8="",'planning '!$J8=""),0,IF('planning '!$J8&gt;'planning '!$H8,MEDIAN('planning '!$J8,F$2,F$1)-MEDIAN('planning '!$H8,F$2,F$1),+('planning '!$J8&lt;'planning '!$H8)*(F$2-F$1)+MEDIAN('planning '!$J8,F$1,F$2)-MEDIAN('planning '!$H8,F$1,F$2)))-'planning '!AA8</f>
        <v>0</v>
      </c>
      <c r="G7" s="237"/>
      <c r="H7" s="235">
        <f>IF(OR('planning '!$H8="",'planning '!$J8=""),0,IF('planning '!$J8&gt;'planning '!$H8,MEDIAN('planning '!$J8,H$2,H$1)-MEDIAN('planning '!$H8,H$2,H$1),+('planning '!$J8&lt;'planning '!$H8)*(H$2-H$1)+MEDIAN('planning '!$J8,H$1,H$2)-MEDIAN('planning '!$H8,H$1,H$2)))</f>
        <v>0</v>
      </c>
      <c r="I7" s="237"/>
      <c r="J7" s="234">
        <f>IF(OR('planning '!$H8="",'planning '!$J8=""),0,IF('planning '!$J8&gt;'planning '!$H8,MEDIAN('planning '!$J8,J$2,J$1)-MEDIAN('planning '!$H8,J$2,J$1),+('planning '!$J8&lt;'planning '!$H8)*(J$2-J$1)+MEDIAN('planning '!$J8,J$1,J$2)-MEDIAN('planning '!$H8,J$1,J$2)))</f>
        <v>0</v>
      </c>
      <c r="K7" s="237"/>
      <c r="M7" s="231" t="s">
        <v>21</v>
      </c>
      <c r="N7" s="261">
        <f t="shared" ca="1" si="0"/>
        <v>0</v>
      </c>
      <c r="O7" s="261">
        <f t="shared" ca="1" si="0"/>
        <v>0</v>
      </c>
      <c r="P7" s="261">
        <f t="shared" ca="1" si="0"/>
        <v>0</v>
      </c>
      <c r="Q7" s="261">
        <f t="shared" ca="1" si="0"/>
        <v>0</v>
      </c>
    </row>
    <row r="8" spans="2:17" x14ac:dyDescent="0.25">
      <c r="B8" s="231" t="str">
        <f>'planning '!F9</f>
        <v>récupération</v>
      </c>
      <c r="C8" s="232">
        <f t="shared" si="1"/>
        <v>43834</v>
      </c>
      <c r="D8" s="233"/>
      <c r="E8" s="240"/>
      <c r="F8" s="235">
        <f>IF(OR('planning '!$H9="",'planning '!$J9=""),0,IF('planning '!$J9&gt;'planning '!$H9,MEDIAN('planning '!$J9,F$2,F$1)-MEDIAN('planning '!$H9,F$2,F$1),+('planning '!$J9&lt;'planning '!$H9)*(F$2-F$1)+MEDIAN('planning '!$J9,F$1,F$2)-MEDIAN('planning '!$H9,F$1,F$2)))-'planning '!AA9</f>
        <v>0</v>
      </c>
      <c r="G8" s="237"/>
      <c r="H8" s="235">
        <f>IF(OR('planning '!$H9="",'planning '!$J9=""),0,IF('planning '!$J9&gt;'planning '!$H9,MEDIAN('planning '!$J9,H$2,H$1)-MEDIAN('planning '!$H9,H$2,H$1),+('planning '!$J9&lt;'planning '!$H9)*(H$2-H$1)+MEDIAN('planning '!$J9,H$1,H$2)-MEDIAN('planning '!$H9,H$1,H$2)))</f>
        <v>0</v>
      </c>
      <c r="I8" s="237"/>
      <c r="J8" s="234">
        <f>IF(OR('planning '!$H9="",'planning '!$J9=""),0,IF('planning '!$J9&gt;'planning '!$H9,MEDIAN('planning '!$J9,J$2,J$1)-MEDIAN('planning '!$H9,J$2,J$1),+('planning '!$J9&lt;'planning '!$H9)*(J$2-J$1)+MEDIAN('planning '!$J9,J$1,J$2)-MEDIAN('planning '!$H9,J$1,J$2)))</f>
        <v>0</v>
      </c>
      <c r="K8" s="237"/>
      <c r="M8" s="17"/>
      <c r="N8" s="17"/>
      <c r="O8" s="17"/>
      <c r="P8" s="17"/>
      <c r="Q8" s="17"/>
    </row>
    <row r="9" spans="2:17" x14ac:dyDescent="0.25">
      <c r="B9" s="231" t="str">
        <f>'planning '!F10</f>
        <v>off</v>
      </c>
      <c r="C9" s="232">
        <f t="shared" si="1"/>
        <v>43835</v>
      </c>
      <c r="D9" s="233">
        <f>IF(OR('planning '!$H10="",'planning '!$J10=""),0,IF('planning '!$J10&gt;'planning '!$H10,MEDIAN('planning '!$J10,D$2,D$1)-MEDIAN('planning '!$H10,D$2,D$1),+('planning '!$J10&lt;'planning '!$H10)*(D$2-D$1)+MEDIAN('planning '!$J10,D$1,D$2)-MEDIAN('planning '!$H10,D$1,D$2)))-'planning '!V10</f>
        <v>0</v>
      </c>
      <c r="E9" s="240"/>
      <c r="F9" s="235">
        <f>IF(OR('planning '!$H10="",'planning '!$J10=""),0,IF('planning '!$J10&gt;'planning '!$H10,MEDIAN('planning '!$J10,F$2,F$1)-MEDIAN('planning '!$H10,F$2,F$1),+('planning '!$J10&lt;'planning '!$H10)*(F$2-F$1)+MEDIAN('planning '!$J10,F$1,F$2)-MEDIAN('planning '!$H10,F$1,F$2)))-'planning '!AA10</f>
        <v>0</v>
      </c>
      <c r="G9" s="237"/>
      <c r="H9" s="235">
        <f>IF(OR('planning '!$H10="",'planning '!$J10=""),0,IF('planning '!$J10&gt;'planning '!$H10,MEDIAN('planning '!$J10,H$2,H$1)-MEDIAN('planning '!$H10,H$2,H$1),+('planning '!$J10&lt;'planning '!$H10)*(H$2-H$1)+MEDIAN('planning '!$J10,H$1,H$2)-MEDIAN('planning '!$H10,H$1,H$2)))</f>
        <v>0</v>
      </c>
      <c r="I9" s="237"/>
      <c r="J9" s="234">
        <f>IF(OR('planning '!$H10="",'planning '!$J10=""),0,IF('planning '!$J10&gt;'planning '!$H10,MEDIAN('planning '!$J10,J$2,J$1)-MEDIAN('planning '!$H10,J$2,J$1),+('planning '!$J10&lt;'planning '!$H10)*(J$2-J$1)+MEDIAN('planning '!$J10,J$1,J$2)-MEDIAN('planning '!$H10,J$1,J$2)))</f>
        <v>0</v>
      </c>
      <c r="K9" s="237"/>
      <c r="M9" s="17"/>
      <c r="N9" s="17"/>
      <c r="O9" s="17"/>
      <c r="P9" s="17"/>
      <c r="Q9" s="17"/>
    </row>
    <row r="10" spans="2:17" ht="15.75" thickBot="1" x14ac:dyDescent="0.3">
      <c r="B10" s="231" t="str">
        <f>'planning '!F11</f>
        <v>off</v>
      </c>
      <c r="C10" s="232">
        <f t="shared" si="1"/>
        <v>43836</v>
      </c>
      <c r="D10" s="233">
        <f>IF(OR('planning '!$H11="",'planning '!$J11=""),0,IF('planning '!$J11&gt;'planning '!$H11,MEDIAN('planning '!$J11,D$2,D$1)-MEDIAN('planning '!$H11,D$2,D$1),+('planning '!$J11&lt;'planning '!$H11)*(D$2-D$1)+MEDIAN('planning '!$J11,D$1,D$2)-MEDIAN('planning '!$H11,D$1,D$2)))-'planning '!V11</f>
        <v>0</v>
      </c>
      <c r="E10" s="241"/>
      <c r="F10" s="235">
        <f>IF(OR('planning '!$H11="",'planning '!$J11=""),0,IF('planning '!$J11&gt;'planning '!$H11,MEDIAN('planning '!$J11,F$2,F$1)-MEDIAN('planning '!$H11,F$2,F$1),+('planning '!$J11&lt;'planning '!$H11)*(F$2-F$1)+MEDIAN('planning '!$J11,F$1,F$2)-MEDIAN('planning '!$H11,F$1,F$2)))-'planning '!AA11</f>
        <v>0</v>
      </c>
      <c r="G10" s="238"/>
      <c r="H10" s="235">
        <f>IF(OR('planning '!$H11="",'planning '!$J11=""),0,IF('planning '!$J11&gt;'planning '!$H11,MEDIAN('planning '!$J11,H$2,H$1)-MEDIAN('planning '!$H11,H$2,H$1),+('planning '!$J11&lt;'planning '!$H11)*(H$2-H$1)+MEDIAN('planning '!$J11,H$1,H$2)-MEDIAN('planning '!$H11,H$1,H$2)))</f>
        <v>0</v>
      </c>
      <c r="I10" s="238"/>
      <c r="J10" s="234">
        <f>IF(OR('planning '!$H11="",'planning '!$J11=""),0,IF('planning '!$J11&gt;'planning '!$H11,MEDIAN('planning '!$J11,J$2,J$1)-MEDIAN('planning '!$H11,J$2,J$1),+('planning '!$J11&lt;'planning '!$H11)*(J$2-J$1)+MEDIAN('planning '!$J11,J$1,J$2)-MEDIAN('planning '!$H11,J$1,J$2)))</f>
        <v>0</v>
      </c>
      <c r="K10" s="238"/>
      <c r="M10" s="17"/>
      <c r="N10" s="17"/>
      <c r="O10" s="17"/>
      <c r="P10" s="17"/>
      <c r="Q10" s="17"/>
    </row>
    <row r="11" spans="2:17" x14ac:dyDescent="0.25">
      <c r="B11" s="15"/>
      <c r="C11" s="130"/>
      <c r="D11" s="130"/>
      <c r="E11" s="130"/>
      <c r="F11" s="130"/>
      <c r="G11" s="130"/>
      <c r="H11" s="130"/>
      <c r="I11" s="130"/>
      <c r="J11" s="130"/>
      <c r="K11" s="130"/>
      <c r="M11" s="17"/>
      <c r="N11" s="17"/>
      <c r="O11" s="17"/>
      <c r="P11" s="17"/>
      <c r="Q11" s="17"/>
    </row>
    <row r="12" spans="2:17" x14ac:dyDescent="0.25">
      <c r="B12" s="15"/>
      <c r="C12" s="130"/>
      <c r="D12" s="130"/>
      <c r="E12" s="130"/>
      <c r="F12" s="130"/>
      <c r="G12" s="130"/>
      <c r="H12" s="130"/>
      <c r="I12" s="130"/>
      <c r="J12" s="130"/>
      <c r="K12" s="130"/>
      <c r="M12" s="17"/>
      <c r="N12" s="17"/>
      <c r="O12" s="17"/>
      <c r="P12" s="17"/>
      <c r="Q12" s="17"/>
    </row>
    <row r="13" spans="2:17" ht="15.75" thickBot="1" x14ac:dyDescent="0.3">
      <c r="M13" s="17"/>
      <c r="N13" s="17"/>
      <c r="O13" s="17"/>
      <c r="P13" s="17"/>
      <c r="Q13" s="17"/>
    </row>
    <row r="14" spans="2:17" x14ac:dyDescent="0.25">
      <c r="B14" s="231" t="str">
        <f>'planning '!F15</f>
        <v>travail</v>
      </c>
      <c r="C14" s="232">
        <f>'planning '!E15</f>
        <v>43837</v>
      </c>
      <c r="D14" s="233"/>
      <c r="E14" s="239"/>
      <c r="F14" s="235">
        <f>IF(OR('planning '!$H15="",'planning '!$J15=""),0,IF('planning '!$J15&gt;'planning '!$H15,MEDIAN('planning '!$J15,F$2,F$1)-MEDIAN('planning '!$H15,F$2,F$1),+('planning '!$J15&lt;'planning '!$H15)*(F$2-F$1)+MEDIAN('planning '!$J15,F$1,F$2)-MEDIAN('planning '!$H15,F$1,F$2)))-'planning '!AA15</f>
        <v>0</v>
      </c>
      <c r="G14" s="236"/>
      <c r="H14" s="235">
        <f>IF(OR('planning '!$H15="",'planning '!$J15=""),0,IF('planning '!$J15&gt;'planning '!$H15,MEDIAN('planning '!$J15,H$2,H$1)-MEDIAN('planning '!$H15,H$2,H$1),+('planning '!$J15&lt;'planning '!$H15)*(H$2-H$1)+MEDIAN('planning '!$J15,H$1,H$2)-MEDIAN('planning '!$H15,H$1,H$2)))</f>
        <v>0</v>
      </c>
      <c r="I14" s="236"/>
      <c r="J14" s="234">
        <f>IF(OR('planning '!$H15="",'planning '!$J15=""),0,IF('planning '!$J15&gt;'planning '!$H15,MEDIAN('planning '!$J15,J$2,J$1)-MEDIAN('planning '!$H15,J$2,J$1),+('planning '!$J15&lt;'planning '!$H15)*(J$2-J$1)+MEDIAN('planning '!$J15,J$1,J$2)-MEDIAN('planning '!$H15,J$1,J$2)))</f>
        <v>0.33333333333333337</v>
      </c>
      <c r="K14" s="236"/>
      <c r="M14" s="17"/>
      <c r="N14" s="264"/>
      <c r="O14" s="265" t="s">
        <v>114</v>
      </c>
      <c r="P14" s="266"/>
      <c r="Q14" s="17"/>
    </row>
    <row r="15" spans="2:17" x14ac:dyDescent="0.25">
      <c r="B15" s="231" t="str">
        <f>'planning '!F16</f>
        <v>travail</v>
      </c>
      <c r="C15" s="232">
        <f>C14+1</f>
        <v>43838</v>
      </c>
      <c r="D15" s="233"/>
      <c r="E15" s="240"/>
      <c r="F15" s="235">
        <f>IF(OR('planning '!$H16="",'planning '!$J16=""),0,IF('planning '!$J16&gt;'planning '!$H16,MEDIAN('planning '!$J16,F$2,F$1)-MEDIAN('planning '!$H16,F$2,F$1),+('planning '!$J16&lt;'planning '!$H16)*(F$2-F$1)+MEDIAN('planning '!$J16,F$1,F$2)-MEDIAN('planning '!$H16,F$1,F$2)))-'planning '!AA16</f>
        <v>0</v>
      </c>
      <c r="G15" s="237"/>
      <c r="H15" s="235">
        <f>IF(OR('planning '!$H16="",'planning '!$J16=""),0,IF('planning '!$J16&gt;'planning '!$H16,MEDIAN('planning '!$J16,H$2,H$1)-MEDIAN('planning '!$H16,H$2,H$1),+('planning '!$J16&lt;'planning '!$H16)*(H$2-H$1)+MEDIAN('planning '!$J16,H$1,H$2)-MEDIAN('planning '!$H16,H$1,H$2)))</f>
        <v>0</v>
      </c>
      <c r="I15" s="237"/>
      <c r="J15" s="234">
        <f>IF(OR('planning '!$H16="",'planning '!$J16=""),0,IF('planning '!$J16&gt;'planning '!$H16,MEDIAN('planning '!$J16,J$2,J$1)-MEDIAN('planning '!$H16,J$2,J$1),+('planning '!$J16&lt;'planning '!$H16)*(J$2-J$1)+MEDIAN('planning '!$J16,J$1,J$2)-MEDIAN('planning '!$H16,J$1,J$2)))</f>
        <v>0.38402777777777786</v>
      </c>
      <c r="K15" s="237"/>
      <c r="M15" s="17"/>
      <c r="N15" s="263" t="s">
        <v>117</v>
      </c>
      <c r="O15" s="263" t="s">
        <v>115</v>
      </c>
      <c r="P15" s="263" t="s">
        <v>116</v>
      </c>
      <c r="Q15" s="243" t="s">
        <v>118</v>
      </c>
    </row>
    <row r="16" spans="2:17" x14ac:dyDescent="0.25">
      <c r="B16" s="231" t="str">
        <f>'planning '!F17</f>
        <v>travail</v>
      </c>
      <c r="C16" s="232">
        <f>C15+1</f>
        <v>43839</v>
      </c>
      <c r="D16" s="233"/>
      <c r="E16" s="240"/>
      <c r="F16" s="235">
        <f>IF(OR('planning '!$H17="",'planning '!$J17=""),0,IF('planning '!$J17&gt;'planning '!$H17,MEDIAN('planning '!$J17,F$2,F$1)-MEDIAN('planning '!$H17,F$2,F$1),+('planning '!$J17&lt;'planning '!$H17)*(F$2-F$1)+MEDIAN('planning '!$J17,F$1,F$2)-MEDIAN('planning '!$H17,F$1,F$2)))-'planning '!AA17</f>
        <v>1.2499999999999956E-2</v>
      </c>
      <c r="G16" s="237" t="s">
        <v>21</v>
      </c>
      <c r="H16" s="235">
        <f>IF(OR('planning '!$H17="",'planning '!$J17=""),0,IF('planning '!$J17&gt;'planning '!$H17,MEDIAN('planning '!$J17,H$2,H$1)-MEDIAN('planning '!$H17,H$2,H$1),+('planning '!$J17&lt;'planning '!$H17)*(H$2-H$1)+MEDIAN('planning '!$J17,H$1,H$2)-MEDIAN('planning '!$H17,H$1,H$2)))</f>
        <v>0</v>
      </c>
      <c r="I16" s="237"/>
      <c r="J16" s="234">
        <f>IF(OR('planning '!$H17="",'planning '!$J17=""),0,IF('planning '!$J17&gt;'planning '!$H17,MEDIAN('planning '!$J17,J$2,J$1)-MEDIAN('planning '!$H17,J$2,J$1),+('planning '!$J17&lt;'planning '!$H17)*(J$2-J$1)+MEDIAN('planning '!$J17,J$1,J$2)-MEDIAN('planning '!$H17,J$1,J$2)))</f>
        <v>0.38819444444444445</v>
      </c>
      <c r="K16" s="237"/>
      <c r="M16" s="231" t="s">
        <v>111</v>
      </c>
      <c r="N16" s="261">
        <f t="shared" ref="N16:Q17" ca="1" si="2">SUMIF(OFFSET($C14:$C21,0,MATCH(N$10,$B$5:$H$5,0)-1,7,1),$K17,OFFSET($B14:$B20,0,MATCH(N$10,$B$5:$H$5,0)-1,7,1))</f>
        <v>0</v>
      </c>
      <c r="O16" s="261">
        <f t="shared" ca="1" si="2"/>
        <v>0</v>
      </c>
      <c r="P16" s="261">
        <f t="shared" ca="1" si="2"/>
        <v>0</v>
      </c>
      <c r="Q16" s="261">
        <f t="shared" ca="1" si="2"/>
        <v>0</v>
      </c>
    </row>
    <row r="17" spans="2:17" x14ac:dyDescent="0.25">
      <c r="B17" s="231" t="str">
        <f>'planning '!F18</f>
        <v>travail</v>
      </c>
      <c r="C17" s="232">
        <f t="shared" ref="C17:C20" si="3">C16+1</f>
        <v>43840</v>
      </c>
      <c r="D17" s="233"/>
      <c r="E17" s="240"/>
      <c r="F17" s="235">
        <f>IF(OR('planning '!$H18="",'planning '!$J18=""),0,IF('planning '!$J18&gt;'planning '!$H18,MEDIAN('planning '!$J18,F$2,F$1)-MEDIAN('planning '!$H18,F$2,F$1),+('planning '!$J18&lt;'planning '!$H18)*(F$2-F$1)+MEDIAN('planning '!$J18,F$1,F$2)-MEDIAN('planning '!$H18,F$1,F$2)))-'planning '!AA18</f>
        <v>0</v>
      </c>
      <c r="G17" s="237"/>
      <c r="H17" s="235">
        <f>IF(OR('planning '!$H18="",'planning '!$J18=""),0,IF('planning '!$J18&gt;'planning '!$H18,MEDIAN('planning '!$J18,H$2,H$1)-MEDIAN('planning '!$H18,H$2,H$1),+('planning '!$J18&lt;'planning '!$H18)*(H$2-H$1)+MEDIAN('planning '!$J18,H$1,H$2)-MEDIAN('planning '!$H18,H$1,H$2)))</f>
        <v>0</v>
      </c>
      <c r="I17" s="237"/>
      <c r="J17" s="234">
        <f>IF(OR('planning '!$H18="",'planning '!$J18=""),0,IF('planning '!$J18&gt;'planning '!$H18,MEDIAN('planning '!$J18,J$2,J$1)-MEDIAN('planning '!$H18,J$2,J$1),+('planning '!$J18&lt;'planning '!$H18)*(J$2-J$1)+MEDIAN('planning '!$J18,J$1,J$2)-MEDIAN('planning '!$H18,J$1,J$2)))</f>
        <v>0.3576388888888889</v>
      </c>
      <c r="K17" s="237"/>
      <c r="M17" s="231" t="s">
        <v>21</v>
      </c>
      <c r="N17" s="261">
        <f t="shared" ca="1" si="2"/>
        <v>0</v>
      </c>
      <c r="O17" s="261">
        <f t="shared" ca="1" si="2"/>
        <v>0</v>
      </c>
      <c r="P17" s="261">
        <f t="shared" ca="1" si="2"/>
        <v>0</v>
      </c>
      <c r="Q17" s="261">
        <f t="shared" ca="1" si="2"/>
        <v>0</v>
      </c>
    </row>
    <row r="18" spans="2:17" x14ac:dyDescent="0.25">
      <c r="B18" s="231" t="str">
        <f>'planning '!F19</f>
        <v>travail</v>
      </c>
      <c r="C18" s="232">
        <f t="shared" si="3"/>
        <v>43841</v>
      </c>
      <c r="D18" s="233"/>
      <c r="E18" s="240"/>
      <c r="F18" s="235">
        <f>IF(OR('planning '!$H19="",'planning '!$J19=""),0,IF('planning '!$J19&gt;'planning '!$H19,MEDIAN('planning '!$J19,F$2,F$1)-MEDIAN('planning '!$H19,F$2,F$1),+('planning '!$J19&lt;'planning '!$H19)*(F$2-F$1)+MEDIAN('planning '!$J19,F$1,F$2)-MEDIAN('planning '!$H19,F$1,F$2)))-'planning '!AA19</f>
        <v>0</v>
      </c>
      <c r="G18" s="237"/>
      <c r="H18" s="235">
        <f>IF(OR('planning '!$H19="",'planning '!$J19=""),0,IF('planning '!$J19&gt;'planning '!$H19,MEDIAN('planning '!$J19,H$2,H$1)-MEDIAN('planning '!$H19,H$2,H$1),+('planning '!$J19&lt;'planning '!$H19)*(H$2-H$1)+MEDIAN('planning '!$J19,H$1,H$2)-MEDIAN('planning '!$H19,H$1,H$2)))</f>
        <v>0</v>
      </c>
      <c r="I18" s="237"/>
      <c r="J18" s="234">
        <f>IF(OR('planning '!$H19="",'planning '!$J19=""),0,IF('planning '!$J19&gt;'planning '!$H19,MEDIAN('planning '!$J19,J$2,J$1)-MEDIAN('planning '!$H19,J$2,J$1),+('planning '!$J19&lt;'planning '!$H19)*(J$2-J$1)+MEDIAN('planning '!$J19,J$1,J$2)-MEDIAN('planning '!$H19,J$1,J$2)))</f>
        <v>0.37152777777777779</v>
      </c>
      <c r="K18" s="237"/>
      <c r="M18" s="17"/>
      <c r="N18" s="17"/>
      <c r="O18" s="17"/>
      <c r="P18" s="17"/>
      <c r="Q18" s="17"/>
    </row>
    <row r="19" spans="2:17" x14ac:dyDescent="0.25">
      <c r="B19" s="231" t="str">
        <f>'planning '!F20</f>
        <v>off</v>
      </c>
      <c r="C19" s="232">
        <f t="shared" si="3"/>
        <v>43842</v>
      </c>
      <c r="D19" s="233">
        <f>IF(OR('planning '!$H20="",'planning '!$J20=""),0,IF('planning '!$J20&gt;'planning '!$H20,MEDIAN('planning '!$J20,D$2,D$1)-MEDIAN('planning '!$H20,D$2,D$1),+('planning '!$J20&lt;'planning '!$H20)*(D$2-D$1)+MEDIAN('planning '!$J20,D$1,D$2)-MEDIAN('planning '!$H20,D$1,D$2)))-'planning '!V20</f>
        <v>0</v>
      </c>
      <c r="E19" s="240"/>
      <c r="F19" s="235">
        <f>IF(OR('planning '!$H20="",'planning '!$J20=""),0,IF('planning '!$J20&gt;'planning '!$H20,MEDIAN('planning '!$J20,F$2,F$1)-MEDIAN('planning '!$H20,F$2,F$1),+('planning '!$J20&lt;'planning '!$H20)*(F$2-F$1)+MEDIAN('planning '!$J20,F$1,F$2)-MEDIAN('planning '!$H20,F$1,F$2)))-'planning '!AA20</f>
        <v>0</v>
      </c>
      <c r="G19" s="237"/>
      <c r="H19" s="235">
        <f>IF(OR('planning '!$H20="",'planning '!$J20=""),0,IF('planning '!$J20&gt;'planning '!$H20,MEDIAN('planning '!$J20,H$2,H$1)-MEDIAN('planning '!$H20,H$2,H$1),+('planning '!$J20&lt;'planning '!$H20)*(H$2-H$1)+MEDIAN('planning '!$J20,H$1,H$2)-MEDIAN('planning '!$H20,H$1,H$2)))</f>
        <v>0</v>
      </c>
      <c r="I19" s="237"/>
      <c r="J19" s="234">
        <f>IF(OR('planning '!$H20="",'planning '!$J20=""),0,IF('planning '!$J20&gt;'planning '!$H20,MEDIAN('planning '!$J20,J$2,J$1)-MEDIAN('planning '!$H20,J$2,J$1),+('planning '!$J20&lt;'planning '!$H20)*(J$2-J$1)+MEDIAN('planning '!$J20,J$1,J$2)-MEDIAN('planning '!$H20,J$1,J$2)))</f>
        <v>0</v>
      </c>
      <c r="K19" s="237"/>
      <c r="M19" s="17"/>
      <c r="N19" s="17"/>
      <c r="O19" s="17"/>
      <c r="P19" s="17"/>
      <c r="Q19" s="17"/>
    </row>
    <row r="20" spans="2:17" ht="15.75" thickBot="1" x14ac:dyDescent="0.3">
      <c r="B20" s="231" t="str">
        <f>'planning '!F21</f>
        <v>off</v>
      </c>
      <c r="C20" s="232">
        <f t="shared" si="3"/>
        <v>43843</v>
      </c>
      <c r="D20" s="233">
        <f>IF(OR('planning '!$H21="",'planning '!$J21=""),0,IF('planning '!$J21&gt;'planning '!$H21,MEDIAN('planning '!$J21,D$2,D$1)-MEDIAN('planning '!$H21,D$2,D$1),+('planning '!$J21&lt;'planning '!$H21)*(D$2-D$1)+MEDIAN('planning '!$J21,D$1,D$2)-MEDIAN('planning '!$H21,D$1,D$2)))-'planning '!V21</f>
        <v>0</v>
      </c>
      <c r="E20" s="241"/>
      <c r="F20" s="235">
        <f>IF(OR('planning '!$H21="",'planning '!$J21=""),0,IF('planning '!$J21&gt;'planning '!$H21,MEDIAN('planning '!$J21,F$2,F$1)-MEDIAN('planning '!$H21,F$2,F$1),+('planning '!$J21&lt;'planning '!$H21)*(F$2-F$1)+MEDIAN('planning '!$J21,F$1,F$2)-MEDIAN('planning '!$H21,F$1,F$2)))-'planning '!AA21</f>
        <v>0</v>
      </c>
      <c r="G20" s="238"/>
      <c r="H20" s="235">
        <f>IF(OR('planning '!$H21="",'planning '!$J21=""),0,IF('planning '!$J21&gt;'planning '!$H21,MEDIAN('planning '!$J21,H$2,H$1)-MEDIAN('planning '!$H21,H$2,H$1),+('planning '!$J21&lt;'planning '!$H21)*(H$2-H$1)+MEDIAN('planning '!$J21,H$1,H$2)-MEDIAN('planning '!$H21,H$1,H$2)))</f>
        <v>0</v>
      </c>
      <c r="I20" s="238"/>
      <c r="J20" s="234">
        <f>IF(OR('planning '!$H21="",'planning '!$J21=""),0,IF('planning '!$J21&gt;'planning '!$H21,MEDIAN('planning '!$J21,J$2,J$1)-MEDIAN('planning '!$H21,J$2,J$1),+('planning '!$J21&lt;'planning '!$H21)*(J$2-J$1)+MEDIAN('planning '!$J21,J$1,J$2)-MEDIAN('planning '!$H21,J$1,J$2)))</f>
        <v>0</v>
      </c>
      <c r="K20" s="238"/>
      <c r="M20" s="17"/>
      <c r="N20" s="17"/>
      <c r="O20" s="17"/>
      <c r="P20" s="17"/>
      <c r="Q20" s="17"/>
    </row>
    <row r="21" spans="2:17" x14ac:dyDescent="0.25">
      <c r="M21" s="17"/>
      <c r="N21" s="17"/>
      <c r="O21" s="17"/>
      <c r="P21" s="17"/>
      <c r="Q21" s="17"/>
    </row>
    <row r="22" spans="2:17" x14ac:dyDescent="0.25">
      <c r="M22" s="17"/>
      <c r="N22" s="17"/>
      <c r="O22" s="17"/>
      <c r="P22" s="17"/>
      <c r="Q22" s="17"/>
    </row>
    <row r="23" spans="2:17" ht="15.75" thickBot="1" x14ac:dyDescent="0.3">
      <c r="M23" s="17"/>
      <c r="N23" s="17"/>
      <c r="O23" s="17"/>
      <c r="P23" s="17"/>
      <c r="Q23" s="17"/>
    </row>
    <row r="24" spans="2:17" x14ac:dyDescent="0.25">
      <c r="B24" s="231" t="str">
        <f>'planning '!F25</f>
        <v>travail</v>
      </c>
      <c r="C24" s="232">
        <f>'planning '!E25</f>
        <v>43844</v>
      </c>
      <c r="D24" s="233"/>
      <c r="E24" s="239"/>
      <c r="F24" s="235">
        <f>IF(OR('planning '!$H25="",'planning '!$J25=""),0,IF('planning '!$J25&gt;'planning '!$H25,MEDIAN('planning '!$J25,F$2,F$1)-MEDIAN('planning '!$H25,F$2,F$1),+('planning '!$J25&lt;'planning '!$H25)*(F$2-F$1)+MEDIAN('planning '!$J25,F$1,F$2)-MEDIAN('planning '!$H25,F$1,F$2)))-'planning '!AA25</f>
        <v>0</v>
      </c>
      <c r="G24" s="236"/>
      <c r="H24" s="235">
        <f>IF(OR('planning '!$H25="",'planning '!$J25=""),0,IF('planning '!$J25&gt;'planning '!$H25,MEDIAN('planning '!$J25,H$2,H$1)-MEDIAN('planning '!$H25,H$2,H$1),+('planning '!$J25&lt;'planning '!$H25)*(H$2-H$1)+MEDIAN('planning '!$J25,H$1,H$2)-MEDIAN('planning '!$H25,H$1,H$2)))</f>
        <v>0</v>
      </c>
      <c r="I24" s="236"/>
      <c r="J24" s="234">
        <f>IF(OR('planning '!$H25="",'planning '!$J25=""),0,IF('planning '!$J25&gt;'planning '!$H25,MEDIAN('planning '!$J25,J$2,J$1)-MEDIAN('planning '!$H25,J$2,J$1),+('planning '!$J25&lt;'planning '!$H25)*(J$2-J$1)+MEDIAN('planning '!$J25,J$1,J$2)-MEDIAN('planning '!$H25,J$1,J$2)))</f>
        <v>0.3340277777777777</v>
      </c>
      <c r="K24" s="236"/>
      <c r="M24" s="17"/>
      <c r="N24" s="264"/>
      <c r="O24" s="265" t="s">
        <v>114</v>
      </c>
      <c r="P24" s="266"/>
      <c r="Q24" s="17"/>
    </row>
    <row r="25" spans="2:17" x14ac:dyDescent="0.25">
      <c r="B25" s="231" t="str">
        <f>'planning '!F26</f>
        <v>travail</v>
      </c>
      <c r="C25" s="232">
        <f>C24+1</f>
        <v>43845</v>
      </c>
      <c r="D25" s="233"/>
      <c r="E25" s="240"/>
      <c r="F25" s="235">
        <f>IF(OR('planning '!$H26="",'planning '!$J26=""),0,IF('planning '!$J26&gt;'planning '!$H26,MEDIAN('planning '!$J26,F$2,F$1)-MEDIAN('planning '!$H26,F$2,F$1),+('planning '!$J26&lt;'planning '!$H26)*(F$2-F$1)+MEDIAN('planning '!$J26,F$1,F$2)-MEDIAN('planning '!$H26,F$1,F$2)))-'planning '!AA26</f>
        <v>8.4722222222222254E-2</v>
      </c>
      <c r="G25" s="237" t="s">
        <v>21</v>
      </c>
      <c r="H25" s="235">
        <f>IF(OR('planning '!$H26="",'planning '!$J26=""),0,IF('planning '!$J26&gt;'planning '!$H26,MEDIAN('planning '!$J26,H$2,H$1)-MEDIAN('planning '!$H26,H$2,H$1),+('planning '!$J26&lt;'planning '!$H26)*(H$2-H$1)+MEDIAN('planning '!$J26,H$1,H$2)-MEDIAN('planning '!$H26,H$1,H$2)))</f>
        <v>0</v>
      </c>
      <c r="I25" s="237"/>
      <c r="J25" s="234">
        <f>IF(OR('planning '!$H26="",'planning '!$J26=""),0,IF('planning '!$J26&gt;'planning '!$H26,MEDIAN('planning '!$J26,J$2,J$1)-MEDIAN('planning '!$H26,J$2,J$1),+('planning '!$J26&lt;'planning '!$H26)*(J$2-J$1)+MEDIAN('planning '!$J26,J$1,J$2)-MEDIAN('planning '!$H26,J$1,J$2)))</f>
        <v>0.47500000000000009</v>
      </c>
      <c r="K25" s="237"/>
      <c r="M25" s="17"/>
      <c r="N25" s="263" t="s">
        <v>117</v>
      </c>
      <c r="O25" s="263" t="s">
        <v>115</v>
      </c>
      <c r="P25" s="263" t="s">
        <v>116</v>
      </c>
      <c r="Q25" s="243" t="s">
        <v>118</v>
      </c>
    </row>
    <row r="26" spans="2:17" x14ac:dyDescent="0.25">
      <c r="B26" s="231" t="str">
        <f>'planning '!F27</f>
        <v>travail</v>
      </c>
      <c r="C26" s="232">
        <f>C25+1</f>
        <v>43846</v>
      </c>
      <c r="D26" s="233"/>
      <c r="E26" s="240"/>
      <c r="F26" s="235">
        <f>IF(OR('planning '!$H27="",'planning '!$J27=""),0,IF('planning '!$J27&gt;'planning '!$H27,MEDIAN('planning '!$J27,F$2,F$1)-MEDIAN('planning '!$H27,F$2,F$1),+('planning '!$J27&lt;'planning '!$H27)*(F$2-F$1)+MEDIAN('planning '!$J27,F$1,F$2)-MEDIAN('planning '!$H27,F$1,F$2)))-'planning '!AA27</f>
        <v>1.2499999999999956E-2</v>
      </c>
      <c r="G26" s="237" t="s">
        <v>21</v>
      </c>
      <c r="H26" s="235">
        <f>IF(OR('planning '!$H27="",'planning '!$J27=""),0,IF('planning '!$J27&gt;'planning '!$H27,MEDIAN('planning '!$J27,H$2,H$1)-MEDIAN('planning '!$H27,H$2,H$1),+('planning '!$J27&lt;'planning '!$H27)*(H$2-H$1)+MEDIAN('planning '!$J27,H$1,H$2)-MEDIAN('planning '!$H27,H$1,H$2)))</f>
        <v>0</v>
      </c>
      <c r="I26" s="237"/>
      <c r="J26" s="234">
        <f>IF(OR('planning '!$H27="",'planning '!$J27=""),0,IF('planning '!$J27&gt;'planning '!$H27,MEDIAN('planning '!$J27,J$2,J$1)-MEDIAN('planning '!$H27,J$2,J$1),+('planning '!$J27&lt;'planning '!$H27)*(J$2-J$1)+MEDIAN('planning '!$J27,J$1,J$2)-MEDIAN('planning '!$H27,J$1,J$2)))</f>
        <v>0.35555555555555551</v>
      </c>
      <c r="K26" s="237"/>
      <c r="M26" s="231" t="s">
        <v>111</v>
      </c>
      <c r="N26" s="261">
        <f t="shared" ref="N26:Q27" ca="1" si="4">SUMIF(OFFSET($C24:$C31,0,MATCH(N$10,$B$5:$H$5,0)-1,7,1),$K27,OFFSET($B24:$B30,0,MATCH(N$10,$B$5:$H$5,0)-1,7,1))</f>
        <v>0</v>
      </c>
      <c r="O26" s="261">
        <f t="shared" ca="1" si="4"/>
        <v>0</v>
      </c>
      <c r="P26" s="261">
        <f t="shared" ca="1" si="4"/>
        <v>0</v>
      </c>
      <c r="Q26" s="261">
        <f t="shared" ca="1" si="4"/>
        <v>0</v>
      </c>
    </row>
    <row r="27" spans="2:17" x14ac:dyDescent="0.25">
      <c r="B27" s="231" t="str">
        <f>'planning '!F28</f>
        <v>travail</v>
      </c>
      <c r="C27" s="232">
        <f t="shared" ref="C27:C30" si="5">C26+1</f>
        <v>43847</v>
      </c>
      <c r="D27" s="233"/>
      <c r="E27" s="240"/>
      <c r="F27" s="235">
        <f>IF(OR('planning '!$H28="",'planning '!$J28=""),0,IF('planning '!$J28&gt;'planning '!$H28,MEDIAN('planning '!$J28,F$2,F$1)-MEDIAN('planning '!$H28,F$2,F$1),+('planning '!$J28&lt;'planning '!$H28)*(F$2-F$1)+MEDIAN('planning '!$J28,F$1,F$2)-MEDIAN('planning '!$H28,F$1,F$2)))-'planning '!AA28</f>
        <v>4.1666666666666519E-3</v>
      </c>
      <c r="G27" s="237" t="s">
        <v>21</v>
      </c>
      <c r="H27" s="235">
        <f>IF(OR('planning '!$H28="",'planning '!$J28=""),0,IF('planning '!$J28&gt;'planning '!$H28,MEDIAN('planning '!$J28,H$2,H$1)-MEDIAN('planning '!$H28,H$2,H$1),+('planning '!$J28&lt;'planning '!$H28)*(H$2-H$1)+MEDIAN('planning '!$J28,H$1,H$2)-MEDIAN('planning '!$H28,H$1,H$2)))</f>
        <v>0</v>
      </c>
      <c r="I27" s="237"/>
      <c r="J27" s="234">
        <f>IF(OR('planning '!$H28="",'planning '!$J28=""),0,IF('planning '!$J28&gt;'planning '!$H28,MEDIAN('planning '!$J28,J$2,J$1)-MEDIAN('planning '!$H28,J$2,J$1),+('planning '!$J28&lt;'planning '!$H28)*(J$2-J$1)+MEDIAN('planning '!$J28,J$1,J$2)-MEDIAN('planning '!$H28,J$1,J$2)))</f>
        <v>0.4</v>
      </c>
      <c r="K27" s="237"/>
      <c r="M27" s="231" t="s">
        <v>21</v>
      </c>
      <c r="N27" s="261">
        <f t="shared" ca="1" si="4"/>
        <v>0</v>
      </c>
      <c r="O27" s="261">
        <f t="shared" ca="1" si="4"/>
        <v>0</v>
      </c>
      <c r="P27" s="261">
        <f t="shared" ca="1" si="4"/>
        <v>0</v>
      </c>
      <c r="Q27" s="261">
        <f t="shared" ca="1" si="4"/>
        <v>0</v>
      </c>
    </row>
    <row r="28" spans="2:17" x14ac:dyDescent="0.25">
      <c r="B28" s="231" t="str">
        <f>'planning '!F29</f>
        <v>travail</v>
      </c>
      <c r="C28" s="232">
        <f t="shared" si="5"/>
        <v>43848</v>
      </c>
      <c r="D28" s="233"/>
      <c r="E28" s="240"/>
      <c r="F28" s="235">
        <f>IF(OR('planning '!$H29="",'planning '!$J29=""),0,IF('planning '!$J29&gt;'planning '!$H29,MEDIAN('planning '!$J29,F$2,F$1)-MEDIAN('planning '!$H29,F$2,F$1),+('planning '!$J29&lt;'planning '!$H29)*(F$2-F$1)+MEDIAN('planning '!$J29,F$1,F$2)-MEDIAN('planning '!$H29,F$1,F$2)))-'planning '!AA29</f>
        <v>0</v>
      </c>
      <c r="G28" s="237"/>
      <c r="H28" s="235">
        <f>IF(OR('planning '!$H29="",'planning '!$J29=""),0,IF('planning '!$J29&gt;'planning '!$H29,MEDIAN('planning '!$J29,H$2,H$1)-MEDIAN('planning '!$H29,H$2,H$1),+('planning '!$J29&lt;'planning '!$H29)*(H$2-H$1)+MEDIAN('planning '!$J29,H$1,H$2)-MEDIAN('planning '!$H29,H$1,H$2)))</f>
        <v>0</v>
      </c>
      <c r="I28" s="237"/>
      <c r="J28" s="234">
        <f>IF(OR('planning '!$H29="",'planning '!$J29=""),0,IF('planning '!$J29&gt;'planning '!$H29,MEDIAN('planning '!$J29,J$2,J$1)-MEDIAN('planning '!$H29,J$2,J$1),+('planning '!$J29&lt;'planning '!$H29)*(J$2-J$1)+MEDIAN('planning '!$J29,J$1,J$2)-MEDIAN('planning '!$H29,J$1,J$2)))</f>
        <v>0.3888888888888889</v>
      </c>
      <c r="K28" s="237"/>
      <c r="M28" s="17"/>
      <c r="N28" s="17"/>
      <c r="O28" s="17"/>
      <c r="P28" s="17"/>
      <c r="Q28" s="17"/>
    </row>
    <row r="29" spans="2:17" x14ac:dyDescent="0.25">
      <c r="B29" s="231" t="str">
        <f>'planning '!F30</f>
        <v>travail</v>
      </c>
      <c r="C29" s="232">
        <f t="shared" si="5"/>
        <v>43849</v>
      </c>
      <c r="D29" s="233">
        <f>IF(OR('planning '!$H30="",'planning '!$J30=""),0,IF('planning '!$J30&gt;'planning '!$H30,MEDIAN('planning '!$J30,D$2,D$1)-MEDIAN('planning '!$H30,D$2,D$1),+('planning '!$J30&lt;'planning '!$H30)*(D$2-D$1)+MEDIAN('planning '!$J30,D$1,D$2)-MEDIAN('planning '!$H30,D$1,D$2)))-'planning '!V30</f>
        <v>0.20000000000000007</v>
      </c>
      <c r="E29" s="240" t="s">
        <v>21</v>
      </c>
      <c r="F29" s="235">
        <f>IF(OR('planning '!$H30="",'planning '!$J30=""),0,IF('planning '!$J30&gt;'planning '!$H30,MEDIAN('planning '!$J30,F$2,F$1)-MEDIAN('planning '!$H30,F$2,F$1),+('planning '!$J30&lt;'planning '!$H30)*(F$2-F$1)+MEDIAN('planning '!$J30,F$1,F$2)-MEDIAN('planning '!$H30,F$1,F$2)))-'planning '!AA30</f>
        <v>8.6805555555555469E-2</v>
      </c>
      <c r="G29" s="237" t="s">
        <v>21</v>
      </c>
      <c r="H29" s="235">
        <f>IF(OR('planning '!$H30="",'planning '!$J30=""),0,IF('planning '!$J30&gt;'planning '!$H30,MEDIAN('planning '!$J30,H$2,H$1)-MEDIAN('planning '!$H30,H$2,H$1),+('planning '!$J30&lt;'planning '!$H30)*(H$2-H$1)+MEDIAN('planning '!$J30,H$1,H$2)-MEDIAN('planning '!$H30,H$1,H$2)))</f>
        <v>0</v>
      </c>
      <c r="I29" s="237"/>
      <c r="J29" s="234">
        <f>IF(OR('planning '!$H30="",'planning '!$J30=""),0,IF('planning '!$J30&gt;'planning '!$H30,MEDIAN('planning '!$J30,J$2,J$1)-MEDIAN('planning '!$H30,J$2,J$1),+('planning '!$J30&lt;'planning '!$H30)*(J$2-J$1)+MEDIAN('planning '!$J30,J$1,J$2)-MEDIAN('planning '!$H30,J$1,J$2)))</f>
        <v>0.28680555555555554</v>
      </c>
      <c r="K29" s="237"/>
      <c r="M29" s="17"/>
      <c r="N29" s="17"/>
      <c r="O29" s="17"/>
      <c r="P29" s="17"/>
      <c r="Q29" s="17"/>
    </row>
    <row r="30" spans="2:17" ht="15.75" thickBot="1" x14ac:dyDescent="0.3">
      <c r="B30" s="231" t="str">
        <f>'planning '!F31</f>
        <v>off</v>
      </c>
      <c r="C30" s="232">
        <f t="shared" si="5"/>
        <v>43850</v>
      </c>
      <c r="D30" s="233">
        <f>IF(OR('planning '!$H31="",'planning '!$J31=""),0,IF('planning '!$J31&gt;'planning '!$H31,MEDIAN('planning '!$J31,D$2,D$1)-MEDIAN('planning '!$H31,D$2,D$1),+('planning '!$J31&lt;'planning '!$H31)*(D$2-D$1)+MEDIAN('planning '!$J31,D$1,D$2)-MEDIAN('planning '!$H31,D$1,D$2)))-'planning '!V31</f>
        <v>0</v>
      </c>
      <c r="E30" s="241"/>
      <c r="F30" s="235">
        <f>IF(OR('planning '!$H31="",'planning '!$J31=""),0,IF('planning '!$J31&gt;'planning '!$H31,MEDIAN('planning '!$J31,F$2,F$1)-MEDIAN('planning '!$H31,F$2,F$1),+('planning '!$J31&lt;'planning '!$H31)*(F$2-F$1)+MEDIAN('planning '!$J31,F$1,F$2)-MEDIAN('planning '!$H31,F$1,F$2)))-'planning '!AA31</f>
        <v>0</v>
      </c>
      <c r="G30" s="238"/>
      <c r="H30" s="235">
        <f>IF(OR('planning '!$H31="",'planning '!$J31=""),0,IF('planning '!$J31&gt;'planning '!$H31,MEDIAN('planning '!$J31,H$2,H$1)-MEDIAN('planning '!$H31,H$2,H$1),+('planning '!$J31&lt;'planning '!$H31)*(H$2-H$1)+MEDIAN('planning '!$J31,H$1,H$2)-MEDIAN('planning '!$H31,H$1,H$2)))</f>
        <v>0</v>
      </c>
      <c r="I30" s="238"/>
      <c r="J30" s="234">
        <f>IF(OR('planning '!$H31="",'planning '!$J31=""),0,IF('planning '!$J31&gt;'planning '!$H31,MEDIAN('planning '!$J31,J$2,J$1)-MEDIAN('planning '!$H31,J$2,J$1),+('planning '!$J31&lt;'planning '!$H31)*(J$2-J$1)+MEDIAN('planning '!$J31,J$1,J$2)-MEDIAN('planning '!$H31,J$1,J$2)))</f>
        <v>0</v>
      </c>
      <c r="K30" s="238"/>
      <c r="M30" s="17"/>
      <c r="N30" s="17"/>
      <c r="O30" s="17"/>
      <c r="P30" s="17"/>
      <c r="Q30" s="17"/>
    </row>
    <row r="31" spans="2:17" x14ac:dyDescent="0.25">
      <c r="M31" s="17"/>
      <c r="N31" s="17"/>
      <c r="O31" s="17"/>
      <c r="P31" s="17"/>
      <c r="Q31" s="17"/>
    </row>
    <row r="32" spans="2:17" x14ac:dyDescent="0.25">
      <c r="M32" s="17"/>
      <c r="N32" s="17"/>
      <c r="O32" s="17"/>
      <c r="P32" s="17"/>
      <c r="Q32" s="17"/>
    </row>
    <row r="33" spans="2:17" ht="15.75" thickBot="1" x14ac:dyDescent="0.3">
      <c r="M33" s="17"/>
      <c r="N33" s="17"/>
      <c r="O33" s="17"/>
      <c r="P33" s="17"/>
      <c r="Q33" s="17"/>
    </row>
    <row r="34" spans="2:17" x14ac:dyDescent="0.25">
      <c r="B34" s="231" t="str">
        <f>'planning '!F35</f>
        <v>travail</v>
      </c>
      <c r="C34" s="232">
        <f>'planning '!E35</f>
        <v>43851</v>
      </c>
      <c r="D34" s="233"/>
      <c r="E34" s="239"/>
      <c r="F34" s="235">
        <f>IF(OR('planning '!$H35="",'planning '!$J35=""),0,IF('planning '!$J35&gt;'planning '!$H35,MEDIAN('planning '!$J35,F$2,F$1)-MEDIAN('planning '!$H35,F$2,F$1),+('planning '!$J35&lt;'planning '!$H35)*(F$2-F$1)+MEDIAN('planning '!$J35,F$1,F$2)-MEDIAN('planning '!$H35,F$1,F$2)))-'planning '!AA35</f>
        <v>0</v>
      </c>
      <c r="G34" s="236"/>
      <c r="H34" s="235">
        <f>IF(OR('planning '!$H35="",'planning '!$J35=""),0,IF('planning '!$J35&gt;'planning '!$H35,MEDIAN('planning '!$J35,H$2,H$1)-MEDIAN('planning '!$H35,H$2,H$1),+('planning '!$J35&lt;'planning '!$H35)*(H$2-H$1)+MEDIAN('planning '!$J35,H$1,H$2)-MEDIAN('planning '!$H35,H$1,H$2)))</f>
        <v>0</v>
      </c>
      <c r="I34" s="236"/>
      <c r="J34" s="234">
        <f>IF(OR('planning '!$H35="",'planning '!$J35=""),0,IF('planning '!$J35&gt;'planning '!$H35,MEDIAN('planning '!$J35,J$2,J$1)-MEDIAN('planning '!$H35,J$2,J$1),+('planning '!$J35&lt;'planning '!$H35)*(J$2-J$1)+MEDIAN('planning '!$J35,J$1,J$2)-MEDIAN('planning '!$H35,J$1,J$2)))</f>
        <v>0.32222222222222224</v>
      </c>
      <c r="K34" s="236"/>
      <c r="M34" s="17"/>
      <c r="N34" s="264"/>
      <c r="O34" s="265" t="s">
        <v>114</v>
      </c>
      <c r="P34" s="266"/>
      <c r="Q34" s="17"/>
    </row>
    <row r="35" spans="2:17" x14ac:dyDescent="0.25">
      <c r="B35" s="231" t="str">
        <f>'planning '!F36</f>
        <v>travail</v>
      </c>
      <c r="C35" s="232">
        <f>C34+1</f>
        <v>43852</v>
      </c>
      <c r="D35" s="233"/>
      <c r="E35" s="240"/>
      <c r="F35" s="235">
        <f>IF(OR('planning '!$H36="",'planning '!$J36=""),0,IF('planning '!$J36&gt;'planning '!$H36,MEDIAN('planning '!$J36,F$2,F$1)-MEDIAN('planning '!$H36,F$2,F$1),+('planning '!$J36&lt;'planning '!$H36)*(F$2-F$1)+MEDIAN('planning '!$J36,F$1,F$2)-MEDIAN('planning '!$H36,F$1,F$2)))-'planning '!AA36</f>
        <v>0</v>
      </c>
      <c r="G35" s="237"/>
      <c r="H35" s="235">
        <f>IF(OR('planning '!$H36="",'planning '!$J36=""),0,IF('planning '!$J36&gt;'planning '!$H36,MEDIAN('planning '!$J36,H$2,H$1)-MEDIAN('planning '!$H36,H$2,H$1),+('planning '!$J36&lt;'planning '!$H36)*(H$2-H$1)+MEDIAN('planning '!$J36,H$1,H$2)-MEDIAN('planning '!$H36,H$1,H$2)))</f>
        <v>0</v>
      </c>
      <c r="I35" s="237"/>
      <c r="J35" s="234">
        <f>IF(OR('planning '!$H36="",'planning '!$J36=""),0,IF('planning '!$J36&gt;'planning '!$H36,MEDIAN('planning '!$J36,J$2,J$1)-MEDIAN('planning '!$H36,J$2,J$1),+('planning '!$J36&lt;'planning '!$H36)*(J$2-J$1)+MEDIAN('planning '!$J36,J$1,J$2)-MEDIAN('planning '!$H36,J$1,J$2)))</f>
        <v>0.34444444444444444</v>
      </c>
      <c r="K35" s="237"/>
      <c r="M35" s="17"/>
      <c r="N35" s="263" t="s">
        <v>117</v>
      </c>
      <c r="O35" s="263" t="s">
        <v>115</v>
      </c>
      <c r="P35" s="263" t="s">
        <v>116</v>
      </c>
      <c r="Q35" s="243" t="s">
        <v>118</v>
      </c>
    </row>
    <row r="36" spans="2:17" x14ac:dyDescent="0.25">
      <c r="B36" s="231" t="str">
        <f>'planning '!F37</f>
        <v>travail</v>
      </c>
      <c r="C36" s="232">
        <f>C35+1</f>
        <v>43853</v>
      </c>
      <c r="D36" s="233"/>
      <c r="E36" s="240"/>
      <c r="F36" s="235">
        <f>IF(OR('planning '!$H37="",'planning '!$J37=""),0,IF('planning '!$J37&gt;'planning '!$H37,MEDIAN('planning '!$J37,F$2,F$1)-MEDIAN('planning '!$H37,F$2,F$1),+('planning '!$J37&lt;'planning '!$H37)*(F$2-F$1)+MEDIAN('planning '!$J37,F$1,F$2)-MEDIAN('planning '!$H37,F$1,F$2)))-'planning '!AA37</f>
        <v>5.8333333333333237E-2</v>
      </c>
      <c r="G36" s="237" t="s">
        <v>21</v>
      </c>
      <c r="H36" s="235">
        <f>IF(OR('planning '!$H37="",'planning '!$J37=""),0,IF('planning '!$J37&gt;'planning '!$H37,MEDIAN('planning '!$J37,H$2,H$1)-MEDIAN('planning '!$H37,H$2,H$1),+('planning '!$J37&lt;'planning '!$H37)*(H$2-H$1)+MEDIAN('planning '!$J37,H$1,H$2)-MEDIAN('planning '!$H37,H$1,H$2)))</f>
        <v>0</v>
      </c>
      <c r="I36" s="237"/>
      <c r="J36" s="234">
        <f>IF(OR('planning '!$H37="",'planning '!$J37=""),0,IF('planning '!$J37&gt;'planning '!$H37,MEDIAN('planning '!$J37,J$2,J$1)-MEDIAN('planning '!$H37,J$2,J$1),+('planning '!$J37&lt;'planning '!$H37)*(J$2-J$1)+MEDIAN('planning '!$J37,J$1,J$2)-MEDIAN('planning '!$H37,J$1,J$2)))</f>
        <v>0.39583333333333326</v>
      </c>
      <c r="K36" s="237"/>
      <c r="M36" s="231" t="s">
        <v>111</v>
      </c>
      <c r="N36" s="261">
        <f t="shared" ref="N36:Q37" ca="1" si="6">SUMIF(OFFSET($C34:$C41,0,MATCH(N$10,$B$5:$H$5,0)-1,7,1),$K37,OFFSET($B34:$B40,0,MATCH(N$10,$B$5:$H$5,0)-1,7,1))</f>
        <v>0</v>
      </c>
      <c r="O36" s="261">
        <f t="shared" ca="1" si="6"/>
        <v>0</v>
      </c>
      <c r="P36" s="261">
        <f t="shared" ca="1" si="6"/>
        <v>0</v>
      </c>
      <c r="Q36" s="261">
        <f t="shared" ca="1" si="6"/>
        <v>0</v>
      </c>
    </row>
    <row r="37" spans="2:17" x14ac:dyDescent="0.25">
      <c r="B37" s="231" t="str">
        <f>'planning '!F38</f>
        <v>travail</v>
      </c>
      <c r="C37" s="232">
        <f t="shared" ref="C37:C40" si="7">C36+1</f>
        <v>43854</v>
      </c>
      <c r="D37" s="233"/>
      <c r="E37" s="240"/>
      <c r="F37" s="235">
        <f>IF(OR('planning '!$H38="",'planning '!$J38=""),0,IF('planning '!$J38&gt;'planning '!$H38,MEDIAN('planning '!$J38,F$2,F$1)-MEDIAN('planning '!$H38,F$2,F$1),+('planning '!$J38&lt;'planning '!$H38)*(F$2-F$1)+MEDIAN('planning '!$J38,F$1,F$2)-MEDIAN('planning '!$H38,F$1,F$2)))-'planning '!AA38</f>
        <v>1.388888888888884E-3</v>
      </c>
      <c r="G37" s="237"/>
      <c r="H37" s="235">
        <f>IF(OR('planning '!$H38="",'planning '!$J38=""),0,IF('planning '!$J38&gt;'planning '!$H38,MEDIAN('planning '!$J38,H$2,H$1)-MEDIAN('planning '!$H38,H$2,H$1),+('planning '!$J38&lt;'planning '!$H38)*(H$2-H$1)+MEDIAN('planning '!$J38,H$1,H$2)-MEDIAN('planning '!$H38,H$1,H$2)))</f>
        <v>0</v>
      </c>
      <c r="I37" s="237"/>
      <c r="J37" s="234">
        <f>IF(OR('planning '!$H38="",'planning '!$J38=""),0,IF('planning '!$J38&gt;'planning '!$H38,MEDIAN('planning '!$J38,J$2,J$1)-MEDIAN('planning '!$H38,J$2,J$1),+('planning '!$J38&lt;'planning '!$H38)*(J$2-J$1)+MEDIAN('planning '!$J38,J$1,J$2)-MEDIAN('planning '!$H38,J$1,J$2)))</f>
        <v>0.39166666666666672</v>
      </c>
      <c r="K37" s="237"/>
      <c r="M37" s="231" t="s">
        <v>21</v>
      </c>
      <c r="N37" s="261">
        <f t="shared" ca="1" si="6"/>
        <v>0</v>
      </c>
      <c r="O37" s="261">
        <f t="shared" ca="1" si="6"/>
        <v>0</v>
      </c>
      <c r="P37" s="261">
        <f t="shared" ca="1" si="6"/>
        <v>0</v>
      </c>
      <c r="Q37" s="261">
        <f t="shared" ca="1" si="6"/>
        <v>0</v>
      </c>
    </row>
    <row r="38" spans="2:17" x14ac:dyDescent="0.25">
      <c r="B38" s="231" t="str">
        <f>'planning '!F39</f>
        <v>travail</v>
      </c>
      <c r="C38" s="232">
        <f t="shared" si="7"/>
        <v>43855</v>
      </c>
      <c r="D38" s="233"/>
      <c r="E38" s="240"/>
      <c r="F38" s="235">
        <f>IF(OR('planning '!$H39="",'planning '!$J39=""),0,IF('planning '!$J39&gt;'planning '!$H39,MEDIAN('planning '!$J39,F$2,F$1)-MEDIAN('planning '!$H39,F$2,F$1),+('planning '!$J39&lt;'planning '!$H39)*(F$2-F$1)+MEDIAN('planning '!$J39,F$1,F$2)-MEDIAN('planning '!$H39,F$1,F$2)))-'planning '!AA39</f>
        <v>0.13541666666666663</v>
      </c>
      <c r="G38" s="237" t="s">
        <v>21</v>
      </c>
      <c r="H38" s="235">
        <f>IF(OR('planning '!$H39="",'planning '!$J39=""),0,IF('planning '!$J39&gt;'planning '!$H39,MEDIAN('planning '!$J39,H$2,H$1)-MEDIAN('planning '!$H39,H$2,H$1),+('planning '!$J39&lt;'planning '!$H39)*(H$2-H$1)+MEDIAN('planning '!$J39,H$1,H$2)-MEDIAN('planning '!$H39,H$1,H$2)))</f>
        <v>0</v>
      </c>
      <c r="I38" s="237"/>
      <c r="J38" s="234">
        <f>IF(OR('planning '!$H39="",'planning '!$J39=""),0,IF('planning '!$J39&gt;'planning '!$H39,MEDIAN('planning '!$J39,J$2,J$1)-MEDIAN('planning '!$H39,J$2,J$1),+('planning '!$J39&lt;'planning '!$H39)*(J$2-J$1)+MEDIAN('planning '!$J39,J$1,J$2)-MEDIAN('planning '!$H39,J$1,J$2)))</f>
        <v>0.52499999999999991</v>
      </c>
      <c r="K38" s="237"/>
      <c r="M38" s="17"/>
      <c r="N38" s="17"/>
      <c r="O38" s="17"/>
      <c r="P38" s="17"/>
      <c r="Q38" s="17"/>
    </row>
    <row r="39" spans="2:17" x14ac:dyDescent="0.25">
      <c r="B39" s="231" t="str">
        <f>'planning '!F40</f>
        <v>off</v>
      </c>
      <c r="C39" s="232">
        <f t="shared" si="7"/>
        <v>43856</v>
      </c>
      <c r="D39" s="233">
        <f>IF(OR('planning '!$H40="",'planning '!$J40=""),0,IF('planning '!$J40&gt;'planning '!$H40,MEDIAN('planning '!$J40,D$2,D$1)-MEDIAN('planning '!$H40,D$2,D$1),+('planning '!$J40&lt;'planning '!$H40)*(D$2-D$1)+MEDIAN('planning '!$J40,D$1,D$2)-MEDIAN('planning '!$H40,D$1,D$2)))-'planning '!V40</f>
        <v>0</v>
      </c>
      <c r="E39" s="240"/>
      <c r="F39" s="235">
        <f>IF(OR('planning '!$H40="",'planning '!$J40=""),0,IF('planning '!$J40&gt;'planning '!$H40,MEDIAN('planning '!$J40,F$2,F$1)-MEDIAN('planning '!$H40,F$2,F$1),+('planning '!$J40&lt;'planning '!$H40)*(F$2-F$1)+MEDIAN('planning '!$J40,F$1,F$2)-MEDIAN('planning '!$H40,F$1,F$2)))-'planning '!AA40</f>
        <v>0</v>
      </c>
      <c r="G39" s="237"/>
      <c r="H39" s="235">
        <f>IF(OR('planning '!$H40="",'planning '!$J40=""),0,IF('planning '!$J40&gt;'planning '!$H40,MEDIAN('planning '!$J40,H$2,H$1)-MEDIAN('planning '!$H40,H$2,H$1),+('planning '!$J40&lt;'planning '!$H40)*(H$2-H$1)+MEDIAN('planning '!$J40,H$1,H$2)-MEDIAN('planning '!$H40,H$1,H$2)))</f>
        <v>0</v>
      </c>
      <c r="I39" s="237"/>
      <c r="J39" s="234">
        <f>IF(OR('planning '!$H40="",'planning '!$J40=""),0,IF('planning '!$J40&gt;'planning '!$H40,MEDIAN('planning '!$J40,J$2,J$1)-MEDIAN('planning '!$H40,J$2,J$1),+('planning '!$J40&lt;'planning '!$H40)*(J$2-J$1)+MEDIAN('planning '!$J40,J$1,J$2)-MEDIAN('planning '!$H40,J$1,J$2)))</f>
        <v>0</v>
      </c>
      <c r="K39" s="237"/>
      <c r="M39" s="17"/>
      <c r="N39" s="17"/>
      <c r="O39" s="17"/>
      <c r="P39" s="17"/>
      <c r="Q39" s="17"/>
    </row>
    <row r="40" spans="2:17" ht="15.75" thickBot="1" x14ac:dyDescent="0.3">
      <c r="B40" s="231" t="str">
        <f>'planning '!F41</f>
        <v>off</v>
      </c>
      <c r="C40" s="232">
        <f t="shared" si="7"/>
        <v>43857</v>
      </c>
      <c r="D40" s="233">
        <f>IF(OR('planning '!$H41="",'planning '!$J41=""),0,IF('planning '!$J41&gt;'planning '!$H41,MEDIAN('planning '!$J41,D$2,D$1)-MEDIAN('planning '!$H41,D$2,D$1),+('planning '!$J41&lt;'planning '!$H41)*(D$2-D$1)+MEDIAN('planning '!$J41,D$1,D$2)-MEDIAN('planning '!$H41,D$1,D$2)))-'planning '!V41</f>
        <v>0</v>
      </c>
      <c r="E40" s="241"/>
      <c r="F40" s="235">
        <f>IF(OR('planning '!$H41="",'planning '!$J41=""),0,IF('planning '!$J41&gt;'planning '!$H41,MEDIAN('planning '!$J41,F$2,F$1)-MEDIAN('planning '!$H41,F$2,F$1),+('planning '!$J41&lt;'planning '!$H41)*(F$2-F$1)+MEDIAN('planning '!$J41,F$1,F$2)-MEDIAN('planning '!$H41,F$1,F$2)))-'planning '!AA41</f>
        <v>0</v>
      </c>
      <c r="G40" s="238"/>
      <c r="H40" s="235">
        <f>IF(OR('planning '!$H41="",'planning '!$J41=""),0,IF('planning '!$J41&gt;'planning '!$H41,MEDIAN('planning '!$J41,H$2,H$1)-MEDIAN('planning '!$H41,H$2,H$1),+('planning '!$J41&lt;'planning '!$H41)*(H$2-H$1)+MEDIAN('planning '!$J41,H$1,H$2)-MEDIAN('planning '!$H41,H$1,H$2)))</f>
        <v>0</v>
      </c>
      <c r="I40" s="238"/>
      <c r="J40" s="234">
        <f>IF(OR('planning '!$H41="",'planning '!$J41=""),0,IF('planning '!$J41&gt;'planning '!$H41,MEDIAN('planning '!$J41,J$2,J$1)-MEDIAN('planning '!$H41,J$2,J$1),+('planning '!$J41&lt;'planning '!$H41)*(J$2-J$1)+MEDIAN('planning '!$J41,J$1,J$2)-MEDIAN('planning '!$H41,J$1,J$2)))</f>
        <v>0</v>
      </c>
      <c r="K40" s="238"/>
      <c r="M40" s="17"/>
      <c r="N40" s="17"/>
      <c r="O40" s="17"/>
      <c r="P40" s="17"/>
      <c r="Q40" s="17"/>
    </row>
    <row r="41" spans="2:17" x14ac:dyDescent="0.25">
      <c r="M41" s="17"/>
      <c r="N41" s="17"/>
      <c r="O41" s="17"/>
      <c r="P41" s="17"/>
      <c r="Q41" s="17"/>
    </row>
    <row r="42" spans="2:17" x14ac:dyDescent="0.25">
      <c r="M42" s="17"/>
      <c r="N42" s="17"/>
      <c r="O42" s="17"/>
      <c r="P42" s="17"/>
      <c r="Q42" s="17"/>
    </row>
    <row r="43" spans="2:17" ht="15.75" thickBot="1" x14ac:dyDescent="0.3">
      <c r="M43" s="17"/>
      <c r="N43" s="17"/>
      <c r="O43" s="17"/>
      <c r="P43" s="17"/>
      <c r="Q43" s="17"/>
    </row>
    <row r="44" spans="2:17" x14ac:dyDescent="0.25">
      <c r="B44" s="231" t="str">
        <f>'planning '!F45</f>
        <v>travail</v>
      </c>
      <c r="C44" s="232">
        <f>'planning '!E45</f>
        <v>43858</v>
      </c>
      <c r="D44" s="233"/>
      <c r="E44" s="239"/>
      <c r="F44" s="235">
        <f>IF(OR('planning '!$H45="",'planning '!$J45=""),0,IF('planning '!$J45&gt;'planning '!$H45,MEDIAN('planning '!$J45,F$2,F$1)-MEDIAN('planning '!$H45,F$2,F$1),+('planning '!$J45&lt;'planning '!$H45)*(F$2-F$1)+MEDIAN('planning '!$J45,F$1,F$2)-MEDIAN('planning '!$H45,F$1,F$2)))-'planning '!AA45</f>
        <v>5.5555555555555469E-2</v>
      </c>
      <c r="G44" s="236" t="s">
        <v>21</v>
      </c>
      <c r="H44" s="235">
        <f>IF(OR('planning '!$H45="",'planning '!$J45=""),0,IF('planning '!$J45&gt;'planning '!$H45,MEDIAN('planning '!$J45,H$2,H$1)-MEDIAN('planning '!$H45,H$2,H$1),+('planning '!$J45&lt;'planning '!$H45)*(H$2-H$1)+MEDIAN('planning '!$J45,H$1,H$2)-MEDIAN('planning '!$H45,H$1,H$2)))</f>
        <v>0</v>
      </c>
      <c r="I44" s="236"/>
      <c r="J44" s="234">
        <f>IF(OR('planning '!$H45="",'planning '!$J45=""),0,IF('planning '!$J45&gt;'planning '!$H45,MEDIAN('planning '!$J45,J$2,J$1)-MEDIAN('planning '!$H45,J$2,J$1),+('planning '!$J45&lt;'planning '!$H45)*(J$2-J$1)+MEDIAN('planning '!$J45,J$1,J$2)-MEDIAN('planning '!$H45,J$1,J$2)))</f>
        <v>0.44027777777777771</v>
      </c>
      <c r="K44" s="236"/>
      <c r="M44" s="17"/>
      <c r="N44" s="262"/>
      <c r="O44" s="231" t="s">
        <v>114</v>
      </c>
      <c r="P44" s="17"/>
      <c r="Q44" s="17"/>
    </row>
    <row r="45" spans="2:17" x14ac:dyDescent="0.25">
      <c r="B45" s="231" t="str">
        <f>'planning '!F46</f>
        <v>travail</v>
      </c>
      <c r="C45" s="232">
        <f>C44+1</f>
        <v>43859</v>
      </c>
      <c r="D45" s="233"/>
      <c r="E45" s="240"/>
      <c r="F45" s="235">
        <f>IF(OR('planning '!$H46="",'planning '!$J46=""),0,IF('planning '!$J46&gt;'planning '!$H46,MEDIAN('planning '!$J46,F$2,F$1)-MEDIAN('planning '!$H46,F$2,F$1),+('planning '!$J46&lt;'planning '!$H46)*(F$2-F$1)+MEDIAN('planning '!$J46,F$1,F$2)-MEDIAN('planning '!$H46,F$1,F$2)))-'planning '!AA46</f>
        <v>0</v>
      </c>
      <c r="G45" s="237"/>
      <c r="H45" s="235">
        <f>IF(OR('planning '!$H46="",'planning '!$J46=""),0,IF('planning '!$J46&gt;'planning '!$H46,MEDIAN('planning '!$J46,H$2,H$1)-MEDIAN('planning '!$H46,H$2,H$1),+('planning '!$J46&lt;'planning '!$H46)*(H$2-H$1)+MEDIAN('planning '!$J46,H$1,H$2)-MEDIAN('planning '!$H46,H$1,H$2)))</f>
        <v>0</v>
      </c>
      <c r="I45" s="237"/>
      <c r="J45" s="234">
        <f>IF(OR('planning '!$H46="",'planning '!$J46=""),0,IF('planning '!$J46&gt;'planning '!$H46,MEDIAN('planning '!$J46,J$2,J$1)-MEDIAN('planning '!$H46,J$2,J$1),+('planning '!$J46&lt;'planning '!$H46)*(J$2-J$1)+MEDIAN('planning '!$J46,J$1,J$2)-MEDIAN('planning '!$H46,J$1,J$2)))</f>
        <v>0.39097222222222228</v>
      </c>
      <c r="K45" s="237"/>
      <c r="M45" s="17"/>
      <c r="N45" s="243" t="s">
        <v>117</v>
      </c>
      <c r="O45" s="243" t="s">
        <v>115</v>
      </c>
      <c r="P45" s="243" t="s">
        <v>116</v>
      </c>
      <c r="Q45" s="243" t="s">
        <v>118</v>
      </c>
    </row>
    <row r="46" spans="2:17" x14ac:dyDescent="0.25">
      <c r="B46" s="231" t="str">
        <f>'planning '!F47</f>
        <v>travail</v>
      </c>
      <c r="C46" s="232">
        <f>C45+1</f>
        <v>43860</v>
      </c>
      <c r="D46" s="233"/>
      <c r="E46" s="240"/>
      <c r="F46" s="235">
        <f>IF(OR('planning '!$H47="",'planning '!$J47=""),0,IF('planning '!$J47&gt;'planning '!$H47,MEDIAN('planning '!$J47,F$2,F$1)-MEDIAN('planning '!$H47,F$2,F$1),+('planning '!$J47&lt;'planning '!$H47)*(F$2-F$1)+MEDIAN('planning '!$J47,F$1,F$2)-MEDIAN('planning '!$H47,F$1,F$2)))-'planning '!AA47</f>
        <v>0</v>
      </c>
      <c r="G46" s="237"/>
      <c r="H46" s="235">
        <f>IF(OR('planning '!$H47="",'planning '!$J47=""),0,IF('planning '!$J47&gt;'planning '!$H47,MEDIAN('planning '!$J47,H$2,H$1)-MEDIAN('planning '!$H47,H$2,H$1),+('planning '!$J47&lt;'planning '!$H47)*(H$2-H$1)+MEDIAN('planning '!$J47,H$1,H$2)-MEDIAN('planning '!$H47,H$1,H$2)))</f>
        <v>0</v>
      </c>
      <c r="I46" s="237"/>
      <c r="J46" s="234">
        <f>IF(OR('planning '!$H47="",'planning '!$J47=""),0,IF('planning '!$J47&gt;'planning '!$H47,MEDIAN('planning '!$J47,J$2,J$1)-MEDIAN('planning '!$H47,J$2,J$1),+('planning '!$J47&lt;'planning '!$H47)*(J$2-J$1)+MEDIAN('planning '!$J47,J$1,J$2)-MEDIAN('planning '!$H47,J$1,J$2)))</f>
        <v>0.36666666666666659</v>
      </c>
      <c r="K46" s="237"/>
      <c r="M46" s="231" t="s">
        <v>111</v>
      </c>
      <c r="N46" s="261">
        <f t="shared" ref="N46:Q47" ca="1" si="8">SUMIF(OFFSET($C44:$C51,0,MATCH(N$10,$B$5:$H$5,0)-1,7,1),$K47,OFFSET($B44:$B50,0,MATCH(N$10,$B$5:$H$5,0)-1,7,1))</f>
        <v>0</v>
      </c>
      <c r="O46" s="261">
        <f t="shared" ca="1" si="8"/>
        <v>0</v>
      </c>
      <c r="P46" s="261">
        <f t="shared" ca="1" si="8"/>
        <v>0</v>
      </c>
      <c r="Q46" s="261">
        <f t="shared" ca="1" si="8"/>
        <v>0</v>
      </c>
    </row>
    <row r="47" spans="2:17" x14ac:dyDescent="0.25">
      <c r="B47" s="231" t="str">
        <f>'planning '!F48</f>
        <v>travail</v>
      </c>
      <c r="C47" s="232">
        <f t="shared" ref="C47:C50" si="9">C46+1</f>
        <v>43861</v>
      </c>
      <c r="D47" s="233"/>
      <c r="E47" s="240"/>
      <c r="F47" s="235">
        <f>IF(OR('planning '!$H48="",'planning '!$J48=""),0,IF('planning '!$J48&gt;'planning '!$H48,MEDIAN('planning '!$J48,F$2,F$1)-MEDIAN('planning '!$H48,F$2,F$1),+('planning '!$J48&lt;'planning '!$H48)*(F$2-F$1)+MEDIAN('planning '!$J48,F$1,F$2)-MEDIAN('planning '!$H48,F$1,F$2)))-'planning '!AA48</f>
        <v>7.638888888888884E-2</v>
      </c>
      <c r="G47" s="237" t="s">
        <v>21</v>
      </c>
      <c r="H47" s="235">
        <f>IF(OR('planning '!$H48="",'planning '!$J48=""),0,IF('planning '!$J48&gt;'planning '!$H48,MEDIAN('planning '!$J48,H$2,H$1)-MEDIAN('planning '!$H48,H$2,H$1),+('planning '!$J48&lt;'planning '!$H48)*(H$2-H$1)+MEDIAN('planning '!$J48,H$1,H$2)-MEDIAN('planning '!$H48,H$1,H$2)))</f>
        <v>0</v>
      </c>
      <c r="I47" s="237"/>
      <c r="J47" s="234">
        <f>IF(OR('planning '!$H48="",'planning '!$J48=""),0,IF('planning '!$J48&gt;'planning '!$H48,MEDIAN('planning '!$J48,J$2,J$1)-MEDIAN('planning '!$H48,J$2,J$1),+('planning '!$J48&lt;'planning '!$H48)*(J$2-J$1)+MEDIAN('planning '!$J48,J$1,J$2)-MEDIAN('planning '!$H48,J$1,J$2)))</f>
        <v>0.47013888888888883</v>
      </c>
      <c r="K47" s="237"/>
      <c r="M47" s="231" t="s">
        <v>21</v>
      </c>
      <c r="N47" s="261">
        <f t="shared" ca="1" si="8"/>
        <v>0</v>
      </c>
      <c r="O47" s="261">
        <f t="shared" ca="1" si="8"/>
        <v>0</v>
      </c>
      <c r="P47" s="261">
        <f t="shared" ca="1" si="8"/>
        <v>0</v>
      </c>
      <c r="Q47" s="261">
        <f t="shared" ca="1" si="8"/>
        <v>0</v>
      </c>
    </row>
    <row r="48" spans="2:17" x14ac:dyDescent="0.25">
      <c r="B48" s="231" t="str">
        <f>'planning '!F49</f>
        <v>travail</v>
      </c>
      <c r="C48" s="232">
        <f t="shared" si="9"/>
        <v>43862</v>
      </c>
      <c r="D48" s="233"/>
      <c r="E48" s="240"/>
      <c r="F48" s="235">
        <f>IF(OR('planning '!$H49="",'planning '!$J49=""),0,IF('planning '!$J49&gt;'planning '!$H49,MEDIAN('planning '!$J49,F$2,F$1)-MEDIAN('planning '!$H49,F$2,F$1),+('planning '!$J49&lt;'planning '!$H49)*(F$2-F$1)+MEDIAN('planning '!$J49,F$1,F$2)-MEDIAN('planning '!$H49,F$1,F$2)))-'planning '!AA49</f>
        <v>4.1666666666666519E-3</v>
      </c>
      <c r="G48" s="237" t="s">
        <v>21</v>
      </c>
      <c r="H48" s="235">
        <f>IF(OR('planning '!$H49="",'planning '!$J49=""),0,IF('planning '!$J49&gt;'planning '!$H49,MEDIAN('planning '!$J49,H$2,H$1)-MEDIAN('planning '!$H49,H$2,H$1),+('planning '!$J49&lt;'planning '!$H49)*(H$2-H$1)+MEDIAN('planning '!$J49,H$1,H$2)-MEDIAN('planning '!$H49,H$1,H$2)))</f>
        <v>0</v>
      </c>
      <c r="I48" s="237"/>
      <c r="J48" s="234">
        <f>IF(OR('planning '!$H49="",'planning '!$J49=""),0,IF('planning '!$J49&gt;'planning '!$H49,MEDIAN('planning '!$J49,J$2,J$1)-MEDIAN('planning '!$H49,J$2,J$1),+('planning '!$J49&lt;'planning '!$H49)*(J$2-J$1)+MEDIAN('planning '!$J49,J$1,J$2)-MEDIAN('planning '!$H49,J$1,J$2)))</f>
        <v>0.39652777777777776</v>
      </c>
      <c r="K48" s="237"/>
      <c r="M48" s="17"/>
      <c r="N48" s="17"/>
      <c r="O48" s="17"/>
      <c r="P48" s="17"/>
      <c r="Q48" s="17"/>
    </row>
    <row r="49" spans="2:17" x14ac:dyDescent="0.25">
      <c r="B49" s="231" t="str">
        <f>'planning '!F50</f>
        <v>off</v>
      </c>
      <c r="C49" s="232">
        <f t="shared" si="9"/>
        <v>43863</v>
      </c>
      <c r="D49" s="233">
        <f>IF(OR('planning '!$H50="",'planning '!$J50=""),0,IF('planning '!$J50&gt;'planning '!$H50,MEDIAN('planning '!$J50,D$2,D$1)-MEDIAN('planning '!$H50,D$2,D$1),+('planning '!$J50&lt;'planning '!$H50)*(D$2-D$1)+MEDIAN('planning '!$J50,D$1,D$2)-MEDIAN('planning '!$H50,D$1,D$2)))-'planning '!V50</f>
        <v>0</v>
      </c>
      <c r="E49" s="240"/>
      <c r="F49" s="235">
        <f>IF(OR('planning '!$H50="",'planning '!$J50=""),0,IF('planning '!$J50&gt;'planning '!$H50,MEDIAN('planning '!$J50,F$2,F$1)-MEDIAN('planning '!$H50,F$2,F$1),+('planning '!$J50&lt;'planning '!$H50)*(F$2-F$1)+MEDIAN('planning '!$J50,F$1,F$2)-MEDIAN('planning '!$H50,F$1,F$2)))-'planning '!AA50</f>
        <v>0</v>
      </c>
      <c r="G49" s="237"/>
      <c r="H49" s="235">
        <f>IF(OR('planning '!$H50="",'planning '!$J50=""),0,IF('planning '!$J50&gt;'planning '!$H50,MEDIAN('planning '!$J50,H$2,H$1)-MEDIAN('planning '!$H50,H$2,H$1),+('planning '!$J50&lt;'planning '!$H50)*(H$2-H$1)+MEDIAN('planning '!$J50,H$1,H$2)-MEDIAN('planning '!$H50,H$1,H$2)))</f>
        <v>0</v>
      </c>
      <c r="I49" s="237"/>
      <c r="J49" s="234">
        <f>IF(OR('planning '!$H50="",'planning '!$J50=""),0,IF('planning '!$J50&gt;'planning '!$H50,MEDIAN('planning '!$J50,J$2,J$1)-MEDIAN('planning '!$H50,J$2,J$1),+('planning '!$J50&lt;'planning '!$H50)*(J$2-J$1)+MEDIAN('planning '!$J50,J$1,J$2)-MEDIAN('planning '!$H50,J$1,J$2)))</f>
        <v>0</v>
      </c>
      <c r="K49" s="237"/>
      <c r="M49" s="17"/>
      <c r="N49" s="17"/>
      <c r="O49" s="17"/>
      <c r="P49" s="17"/>
      <c r="Q49" s="17"/>
    </row>
    <row r="50" spans="2:17" ht="15.75" thickBot="1" x14ac:dyDescent="0.3">
      <c r="B50" s="231" t="str">
        <f>'planning '!F51</f>
        <v>off</v>
      </c>
      <c r="C50" s="232">
        <f t="shared" si="9"/>
        <v>43864</v>
      </c>
      <c r="D50" s="233">
        <f>IF(OR('planning '!$H51="",'planning '!$J51=""),0,IF('planning '!$J51&gt;'planning '!$H51,MEDIAN('planning '!$J51,D$2,D$1)-MEDIAN('planning '!$H51,D$2,D$1),+('planning '!$J51&lt;'planning '!$H51)*(D$2-D$1)+MEDIAN('planning '!$J51,D$1,D$2)-MEDIAN('planning '!$H51,D$1,D$2)))-'planning '!V51</f>
        <v>0</v>
      </c>
      <c r="E50" s="241"/>
      <c r="F50" s="235">
        <f>IF(OR('planning '!$H51="",'planning '!$J51=""),0,IF('planning '!$J51&gt;'planning '!$H51,MEDIAN('planning '!$J51,F$2,F$1)-MEDIAN('planning '!$H51,F$2,F$1),+('planning '!$J51&lt;'planning '!$H51)*(F$2-F$1)+MEDIAN('planning '!$J51,F$1,F$2)-MEDIAN('planning '!$H51,F$1,F$2)))-'planning '!AA51</f>
        <v>0</v>
      </c>
      <c r="G50" s="238"/>
      <c r="H50" s="235">
        <f>IF(OR('planning '!$H51="",'planning '!$J51=""),0,IF('planning '!$J51&gt;'planning '!$H51,MEDIAN('planning '!$J51,H$2,H$1)-MEDIAN('planning '!$H51,H$2,H$1),+('planning '!$J51&lt;'planning '!$H51)*(H$2-H$1)+MEDIAN('planning '!$J51,H$1,H$2)-MEDIAN('planning '!$H51,H$1,H$2)))</f>
        <v>0</v>
      </c>
      <c r="I50" s="238"/>
      <c r="J50" s="234">
        <f>IF(OR('planning '!$H51="",'planning '!$J51=""),0,IF('planning '!$J51&gt;'planning '!$H51,MEDIAN('planning '!$J51,J$2,J$1)-MEDIAN('planning '!$H51,J$2,J$1),+('planning '!$J51&lt;'planning '!$H51)*(J$2-J$1)+MEDIAN('planning '!$J51,J$1,J$2)-MEDIAN('planning '!$H51,J$1,J$2)))</f>
        <v>0</v>
      </c>
      <c r="K50" s="238"/>
      <c r="M50" s="17"/>
      <c r="N50" s="17"/>
      <c r="O50" s="17"/>
      <c r="P50" s="17"/>
      <c r="Q50" s="17"/>
    </row>
    <row r="51" spans="2:17" x14ac:dyDescent="0.25">
      <c r="M51" s="17"/>
      <c r="N51" s="17"/>
      <c r="O51" s="17"/>
      <c r="P51" s="17"/>
      <c r="Q51" s="17"/>
    </row>
    <row r="52" spans="2:17" x14ac:dyDescent="0.25">
      <c r="M52" s="17"/>
      <c r="N52" s="17"/>
      <c r="O52" s="17"/>
      <c r="P52" s="17"/>
      <c r="Q52" s="17"/>
    </row>
    <row r="53" spans="2:17" ht="15.75" thickBot="1" x14ac:dyDescent="0.3">
      <c r="M53" s="17"/>
      <c r="N53" s="17"/>
      <c r="O53" s="17"/>
      <c r="P53" s="17"/>
      <c r="Q53" s="17"/>
    </row>
    <row r="54" spans="2:17" x14ac:dyDescent="0.25">
      <c r="B54" s="231" t="str">
        <f>'planning '!F55</f>
        <v>travail</v>
      </c>
      <c r="C54" s="232">
        <f>'planning '!E55</f>
        <v>43865</v>
      </c>
      <c r="D54" s="233"/>
      <c r="E54" s="239"/>
      <c r="F54" s="235">
        <f>IF(OR('planning '!$H55="",'planning '!$J55=""),0,IF('planning '!$J55&gt;'planning '!$H55,MEDIAN('planning '!$J55,F$2,F$1)-MEDIAN('planning '!$H55,F$2,F$1),+('planning '!$J55&lt;'planning '!$H55)*(F$2-F$1)+MEDIAN('planning '!$J55,F$1,F$2)-MEDIAN('planning '!$H55,F$1,F$2)))-'planning '!AA55</f>
        <v>0</v>
      </c>
      <c r="G54" s="236"/>
      <c r="H54" s="235">
        <f>IF(OR('planning '!$H55="",'planning '!$J55=""),0,IF('planning '!$J55&gt;'planning '!$H55,MEDIAN('planning '!$J55,H$2,H$1)-MEDIAN('planning '!$H55,H$2,H$1),+('planning '!$J55&lt;'planning '!$H55)*(H$2-H$1)+MEDIAN('planning '!$J55,H$1,H$2)-MEDIAN('planning '!$H55,H$1,H$2)))</f>
        <v>0</v>
      </c>
      <c r="I54" s="236"/>
      <c r="J54" s="234">
        <f>IF(OR('planning '!$H55="",'planning '!$J55=""),0,IF('planning '!$J55&gt;'planning '!$H55,MEDIAN('planning '!$J55,J$2,J$1)-MEDIAN('planning '!$H55,J$2,J$1),+('planning '!$J55&lt;'planning '!$H55)*(J$2-J$1)+MEDIAN('planning '!$J55,J$1,J$2)-MEDIAN('planning '!$H55,J$1,J$2)))</f>
        <v>0.33611111111111114</v>
      </c>
      <c r="K54" s="236"/>
      <c r="M54" s="17"/>
      <c r="N54" s="264"/>
      <c r="O54" s="265" t="s">
        <v>114</v>
      </c>
      <c r="P54" s="266"/>
      <c r="Q54" s="17"/>
    </row>
    <row r="55" spans="2:17" x14ac:dyDescent="0.25">
      <c r="B55" s="231" t="str">
        <f>'planning '!F56</f>
        <v>travail</v>
      </c>
      <c r="C55" s="232">
        <f>C54+1</f>
        <v>43866</v>
      </c>
      <c r="D55" s="233"/>
      <c r="E55" s="240"/>
      <c r="F55" s="235">
        <f>IF(OR('planning '!$H56="",'planning '!$J56=""),0,IF('planning '!$J56&gt;'planning '!$H56,MEDIAN('planning '!$J56,F$2,F$1)-MEDIAN('planning '!$H56,F$2,F$1),+('planning '!$J56&lt;'planning '!$H56)*(F$2-F$1)+MEDIAN('planning '!$J56,F$1,F$2)-MEDIAN('planning '!$H56,F$1,F$2)))-'planning '!AA56</f>
        <v>6.25E-2</v>
      </c>
      <c r="G55" s="237" t="s">
        <v>21</v>
      </c>
      <c r="H55" s="235">
        <f>IF(OR('planning '!$H56="",'planning '!$J56=""),0,IF('planning '!$J56&gt;'planning '!$H56,MEDIAN('planning '!$J56,H$2,H$1)-MEDIAN('planning '!$H56,H$2,H$1),+('planning '!$J56&lt;'planning '!$H56)*(H$2-H$1)+MEDIAN('planning '!$J56,H$1,H$2)-MEDIAN('planning '!$H56,H$1,H$2)))</f>
        <v>0</v>
      </c>
      <c r="I55" s="237"/>
      <c r="J55" s="234">
        <f>IF(OR('planning '!$H56="",'planning '!$J56=""),0,IF('planning '!$J56&gt;'planning '!$H56,MEDIAN('planning '!$J56,J$2,J$1)-MEDIAN('planning '!$H56,J$2,J$1),+('planning '!$J56&lt;'planning '!$H56)*(J$2-J$1)+MEDIAN('planning '!$J56,J$1,J$2)-MEDIAN('planning '!$H56,J$1,J$2)))</f>
        <v>0.45347222222222222</v>
      </c>
      <c r="K55" s="237"/>
      <c r="M55" s="17"/>
      <c r="N55" s="263" t="s">
        <v>117</v>
      </c>
      <c r="O55" s="263" t="s">
        <v>115</v>
      </c>
      <c r="P55" s="263" t="s">
        <v>116</v>
      </c>
      <c r="Q55" s="243" t="s">
        <v>118</v>
      </c>
    </row>
    <row r="56" spans="2:17" x14ac:dyDescent="0.25">
      <c r="B56" s="231" t="str">
        <f>'planning '!F57</f>
        <v>travail</v>
      </c>
      <c r="C56" s="232">
        <f>C55+1</f>
        <v>43867</v>
      </c>
      <c r="D56" s="233"/>
      <c r="E56" s="240"/>
      <c r="F56" s="235">
        <f>IF(OR('planning '!$H57="",'planning '!$J57=""),0,IF('planning '!$J57&gt;'planning '!$H57,MEDIAN('planning '!$J57,F$2,F$1)-MEDIAN('planning '!$H57,F$2,F$1),+('planning '!$J57&lt;'planning '!$H57)*(F$2-F$1)+MEDIAN('planning '!$J57,F$1,F$2)-MEDIAN('planning '!$H57,F$1,F$2)))-'planning '!AA57</f>
        <v>0</v>
      </c>
      <c r="G56" s="237"/>
      <c r="H56" s="235">
        <f>IF(OR('planning '!$H57="",'planning '!$J57=""),0,IF('planning '!$J57&gt;'planning '!$H57,MEDIAN('planning '!$J57,H$2,H$1)-MEDIAN('planning '!$H57,H$2,H$1),+('planning '!$J57&lt;'planning '!$H57)*(H$2-H$1)+MEDIAN('planning '!$J57,H$1,H$2)-MEDIAN('planning '!$H57,H$1,H$2)))</f>
        <v>0</v>
      </c>
      <c r="I56" s="237"/>
      <c r="J56" s="234">
        <f>IF(OR('planning '!$H57="",'planning '!$J57=""),0,IF('planning '!$J57&gt;'planning '!$H57,MEDIAN('planning '!$J57,J$2,J$1)-MEDIAN('planning '!$H57,J$2,J$1),+('planning '!$J57&lt;'planning '!$H57)*(J$2-J$1)+MEDIAN('planning '!$J57,J$1,J$2)-MEDIAN('planning '!$H57,J$1,J$2)))</f>
        <v>0.35138888888888892</v>
      </c>
      <c r="K56" s="237"/>
      <c r="M56" s="231" t="s">
        <v>111</v>
      </c>
      <c r="N56" s="261">
        <f t="shared" ref="N56:Q57" ca="1" si="10">SUMIF(OFFSET($C54:$C61,0,MATCH(N$10,$B$5:$H$5,0)-1,7,1),$K57,OFFSET($B54:$B60,0,MATCH(N$10,$B$5:$H$5,0)-1,7,1))</f>
        <v>0</v>
      </c>
      <c r="O56" s="261">
        <f t="shared" ca="1" si="10"/>
        <v>0</v>
      </c>
      <c r="P56" s="261">
        <f t="shared" ca="1" si="10"/>
        <v>0</v>
      </c>
      <c r="Q56" s="261">
        <f t="shared" ca="1" si="10"/>
        <v>0</v>
      </c>
    </row>
    <row r="57" spans="2:17" x14ac:dyDescent="0.25">
      <c r="B57" s="231" t="str">
        <f>'planning '!F58</f>
        <v>travail</v>
      </c>
      <c r="C57" s="232">
        <f t="shared" ref="C57:C60" si="11">C56+1</f>
        <v>43868</v>
      </c>
      <c r="D57" s="233"/>
      <c r="E57" s="240"/>
      <c r="F57" s="235">
        <f>IF(OR('planning '!$H58="",'planning '!$J58=""),0,IF('planning '!$J58&gt;'planning '!$H58,MEDIAN('planning '!$J58,F$2,F$1)-MEDIAN('planning '!$H58,F$2,F$1),+('planning '!$J58&lt;'planning '!$H58)*(F$2-F$1)+MEDIAN('planning '!$J58,F$1,F$2)-MEDIAN('planning '!$H58,F$1,F$2)))-'planning '!AA58</f>
        <v>0.14583333333333326</v>
      </c>
      <c r="G57" s="237" t="s">
        <v>21</v>
      </c>
      <c r="H57" s="235">
        <f>IF(OR('planning '!$H58="",'planning '!$J58=""),0,IF('planning '!$J58&gt;'planning '!$H58,MEDIAN('planning '!$J58,H$2,H$1)-MEDIAN('planning '!$H58,H$2,H$1),+('planning '!$J58&lt;'planning '!$H58)*(H$2-H$1)+MEDIAN('planning '!$J58,H$1,H$2)-MEDIAN('planning '!$H58,H$1,H$2)))</f>
        <v>2.083333333333337E-2</v>
      </c>
      <c r="I57" s="237" t="s">
        <v>111</v>
      </c>
      <c r="J57" s="234">
        <f>IF(OR('planning '!$H58="",'planning '!$J58=""),0,IF('planning '!$J58&gt;'planning '!$H58,MEDIAN('planning '!$J58,J$2,J$1)-MEDIAN('planning '!$H58,J$2,J$1),+('planning '!$J58&lt;'planning '!$H58)*(J$2-J$1)+MEDIAN('planning '!$J58,J$1,J$2)-MEDIAN('planning '!$H58,J$1,J$2)))</f>
        <v>0.55347222222222214</v>
      </c>
      <c r="K57" s="237"/>
      <c r="M57" s="231" t="s">
        <v>21</v>
      </c>
      <c r="N57" s="261">
        <f t="shared" ca="1" si="10"/>
        <v>0</v>
      </c>
      <c r="O57" s="261">
        <f t="shared" ca="1" si="10"/>
        <v>0</v>
      </c>
      <c r="P57" s="261">
        <f t="shared" ca="1" si="10"/>
        <v>0</v>
      </c>
      <c r="Q57" s="261">
        <f t="shared" ca="1" si="10"/>
        <v>0</v>
      </c>
    </row>
    <row r="58" spans="2:17" x14ac:dyDescent="0.25">
      <c r="B58" s="231" t="str">
        <f>'planning '!F59</f>
        <v>travail</v>
      </c>
      <c r="C58" s="232">
        <f t="shared" si="11"/>
        <v>43869</v>
      </c>
      <c r="D58" s="233"/>
      <c r="E58" s="240"/>
      <c r="F58" s="235">
        <f>IF(OR('planning '!$H59="",'planning '!$J59=""),0,IF('planning '!$J59&gt;'planning '!$H59,MEDIAN('planning '!$J59,F$2,F$1)-MEDIAN('planning '!$H59,F$2,F$1),+('planning '!$J59&lt;'planning '!$H59)*(F$2-F$1)+MEDIAN('planning '!$J59,F$1,F$2)-MEDIAN('planning '!$H59,F$1,F$2)))-'planning '!AA59</f>
        <v>0</v>
      </c>
      <c r="G58" s="237"/>
      <c r="H58" s="235">
        <f>IF(OR('planning '!$H59="",'planning '!$J59=""),0,IF('planning '!$J59&gt;'planning '!$H59,MEDIAN('planning '!$J59,H$2,H$1)-MEDIAN('planning '!$H59,H$2,H$1),+('planning '!$J59&lt;'planning '!$H59)*(H$2-H$1)+MEDIAN('planning '!$J59,H$1,H$2)-MEDIAN('planning '!$H59,H$1,H$2)))</f>
        <v>0</v>
      </c>
      <c r="I58" s="237"/>
      <c r="J58" s="234">
        <f>IF(OR('planning '!$H59="",'planning '!$J59=""),0,IF('planning '!$J59&gt;'planning '!$H59,MEDIAN('planning '!$J59,J$2,J$1)-MEDIAN('planning '!$H59,J$2,J$1),+('planning '!$J59&lt;'planning '!$H59)*(J$2-J$1)+MEDIAN('planning '!$J59,J$1,J$2)-MEDIAN('planning '!$H59,J$1,J$2)))</f>
        <v>0.37152777777777779</v>
      </c>
      <c r="K58" s="237"/>
      <c r="M58" s="17"/>
      <c r="N58" s="17"/>
      <c r="O58" s="17"/>
      <c r="P58" s="17"/>
      <c r="Q58" s="17"/>
    </row>
    <row r="59" spans="2:17" x14ac:dyDescent="0.25">
      <c r="B59" s="231" t="str">
        <f>'planning '!F60</f>
        <v>off</v>
      </c>
      <c r="C59" s="232">
        <f t="shared" si="11"/>
        <v>43870</v>
      </c>
      <c r="D59" s="233">
        <f>IF(OR('planning '!$H60="",'planning '!$J60=""),0,IF('planning '!$J60&gt;'planning '!$H60,MEDIAN('planning '!$J60,D$2,D$1)-MEDIAN('planning '!$H60,D$2,D$1),+('planning '!$J60&lt;'planning '!$H60)*(D$2-D$1)+MEDIAN('planning '!$J60,D$1,D$2)-MEDIAN('planning '!$H60,D$1,D$2)))-'planning '!V60</f>
        <v>0</v>
      </c>
      <c r="E59" s="240"/>
      <c r="F59" s="235">
        <f>IF(OR('planning '!$H60="",'planning '!$J60=""),0,IF('planning '!$J60&gt;'planning '!$H60,MEDIAN('planning '!$J60,F$2,F$1)-MEDIAN('planning '!$H60,F$2,F$1),+('planning '!$J60&lt;'planning '!$H60)*(F$2-F$1)+MEDIAN('planning '!$J60,F$1,F$2)-MEDIAN('planning '!$H60,F$1,F$2)))-'planning '!AA60</f>
        <v>0</v>
      </c>
      <c r="G59" s="237"/>
      <c r="H59" s="235">
        <f>IF(OR('planning '!$H60="",'planning '!$J60=""),0,IF('planning '!$J60&gt;'planning '!$H60,MEDIAN('planning '!$J60,H$2,H$1)-MEDIAN('planning '!$H60,H$2,H$1),+('planning '!$J60&lt;'planning '!$H60)*(H$2-H$1)+MEDIAN('planning '!$J60,H$1,H$2)-MEDIAN('planning '!$H60,H$1,H$2)))</f>
        <v>0</v>
      </c>
      <c r="I59" s="237"/>
      <c r="J59" s="234">
        <f>IF(OR('planning '!$H60="",'planning '!$J60=""),0,IF('planning '!$J60&gt;'planning '!$H60,MEDIAN('planning '!$J60,J$2,J$1)-MEDIAN('planning '!$H60,J$2,J$1),+('planning '!$J60&lt;'planning '!$H60)*(J$2-J$1)+MEDIAN('planning '!$J60,J$1,J$2)-MEDIAN('planning '!$H60,J$1,J$2)))</f>
        <v>0</v>
      </c>
      <c r="K59" s="237"/>
      <c r="M59" s="17"/>
      <c r="N59" s="17"/>
      <c r="O59" s="17"/>
      <c r="P59" s="17"/>
      <c r="Q59" s="17"/>
    </row>
    <row r="60" spans="2:17" ht="15.75" thickBot="1" x14ac:dyDescent="0.3">
      <c r="B60" s="231" t="str">
        <f>'planning '!F61</f>
        <v>off</v>
      </c>
      <c r="C60" s="232">
        <f t="shared" si="11"/>
        <v>43871</v>
      </c>
      <c r="D60" s="233">
        <f>IF(OR('planning '!$H61="",'planning '!$J61=""),0,IF('planning '!$J61&gt;'planning '!$H61,MEDIAN('planning '!$J61,D$2,D$1)-MEDIAN('planning '!$H61,D$2,D$1),+('planning '!$J61&lt;'planning '!$H61)*(D$2-D$1)+MEDIAN('planning '!$J61,D$1,D$2)-MEDIAN('planning '!$H61,D$1,D$2)))-'planning '!V61</f>
        <v>0</v>
      </c>
      <c r="E60" s="241"/>
      <c r="F60" s="235">
        <f>IF(OR('planning '!$H61="",'planning '!$J61=""),0,IF('planning '!$J61&gt;'planning '!$H61,MEDIAN('planning '!$J61,F$2,F$1)-MEDIAN('planning '!$H61,F$2,F$1),+('planning '!$J61&lt;'planning '!$H61)*(F$2-F$1)+MEDIAN('planning '!$J61,F$1,F$2)-MEDIAN('planning '!$H61,F$1,F$2)))-'planning '!AA61</f>
        <v>0</v>
      </c>
      <c r="G60" s="238"/>
      <c r="H60" s="235">
        <f>IF(OR('planning '!$H61="",'planning '!$J61=""),0,IF('planning '!$J61&gt;'planning '!$H61,MEDIAN('planning '!$J61,H$2,H$1)-MEDIAN('planning '!$H61,H$2,H$1),+('planning '!$J61&lt;'planning '!$H61)*(H$2-H$1)+MEDIAN('planning '!$J61,H$1,H$2)-MEDIAN('planning '!$H61,H$1,H$2)))</f>
        <v>0</v>
      </c>
      <c r="I60" s="238"/>
      <c r="J60" s="234">
        <f>IF(OR('planning '!$H61="",'planning '!$J61=""),0,IF('planning '!$J61&gt;'planning '!$H61,MEDIAN('planning '!$J61,J$2,J$1)-MEDIAN('planning '!$H61,J$2,J$1),+('planning '!$J61&lt;'planning '!$H61)*(J$2-J$1)+MEDIAN('planning '!$J61,J$1,J$2)-MEDIAN('planning '!$H61,J$1,J$2)))</f>
        <v>0</v>
      </c>
      <c r="K60" s="238"/>
      <c r="M60" s="17"/>
      <c r="N60" s="17"/>
      <c r="O60" s="17"/>
      <c r="P60" s="17"/>
      <c r="Q60" s="17"/>
    </row>
    <row r="61" spans="2:17" x14ac:dyDescent="0.25">
      <c r="M61" s="17"/>
      <c r="N61" s="17"/>
      <c r="O61" s="17"/>
      <c r="P61" s="17"/>
      <c r="Q61" s="17"/>
    </row>
    <row r="62" spans="2:17" x14ac:dyDescent="0.25">
      <c r="M62" s="17"/>
      <c r="N62" s="17"/>
      <c r="O62" s="17"/>
      <c r="P62" s="17"/>
      <c r="Q62" s="17"/>
    </row>
    <row r="63" spans="2:17" ht="15.75" thickBot="1" x14ac:dyDescent="0.3">
      <c r="M63" s="17"/>
      <c r="N63" s="17"/>
      <c r="O63" s="17"/>
      <c r="P63" s="17"/>
      <c r="Q63" s="17"/>
    </row>
    <row r="64" spans="2:17" x14ac:dyDescent="0.25">
      <c r="B64" s="231" t="str">
        <f>'planning '!F65</f>
        <v>travail</v>
      </c>
      <c r="C64" s="232">
        <f>'planning '!E65</f>
        <v>43872</v>
      </c>
      <c r="D64" s="233"/>
      <c r="E64" s="239"/>
      <c r="F64" s="235">
        <f>IF(OR('planning '!$H65="",'planning '!$J65=""),0,IF('planning '!$J65&gt;'planning '!$H65,MEDIAN('planning '!$J65,F$2,F$1)-MEDIAN('planning '!$H65,F$2,F$1),+('planning '!$J65&lt;'planning '!$H65)*(F$2-F$1)+MEDIAN('planning '!$J65,F$1,F$2)-MEDIAN('planning '!$H65,F$1,F$2)))-'planning '!AA65</f>
        <v>0</v>
      </c>
      <c r="G64" s="236"/>
      <c r="H64" s="235">
        <f>IF(OR('planning '!$H65="",'planning '!$J65=""),0,IF('planning '!$J65&gt;'planning '!$H65,MEDIAN('planning '!$J65,H$2,H$1)-MEDIAN('planning '!$H65,H$2,H$1),+('planning '!$J65&lt;'planning '!$H65)*(H$2-H$1)+MEDIAN('planning '!$J65,H$1,H$2)-MEDIAN('planning '!$H65,H$1,H$2)))</f>
        <v>0</v>
      </c>
      <c r="I64" s="236"/>
      <c r="J64" s="234">
        <f>IF(OR('planning '!$H65="",'planning '!$J65=""),0,IF('planning '!$J65&gt;'planning '!$H65,MEDIAN('planning '!$J65,J$2,J$1)-MEDIAN('planning '!$H65,J$2,J$1),+('planning '!$J65&lt;'planning '!$H65)*(J$2-J$1)+MEDIAN('planning '!$J65,J$1,J$2)-MEDIAN('planning '!$H65,J$1,J$2)))</f>
        <v>0.33611111111111114</v>
      </c>
      <c r="K64" s="236"/>
      <c r="M64" s="17"/>
      <c r="N64" s="262"/>
      <c r="O64" s="231" t="s">
        <v>114</v>
      </c>
      <c r="P64" s="17"/>
      <c r="Q64" s="17"/>
    </row>
    <row r="65" spans="2:17" x14ac:dyDescent="0.25">
      <c r="B65" s="231" t="str">
        <f>'planning '!F66</f>
        <v>travail</v>
      </c>
      <c r="C65" s="232">
        <f>C64+1</f>
        <v>43873</v>
      </c>
      <c r="D65" s="233"/>
      <c r="E65" s="240"/>
      <c r="F65" s="235">
        <f>IF(OR('planning '!$H66="",'planning '!$J66=""),0,IF('planning '!$J66&gt;'planning '!$H66,MEDIAN('planning '!$J66,F$2,F$1)-MEDIAN('planning '!$H66,F$2,F$1),+('planning '!$J66&lt;'planning '!$H66)*(F$2-F$1)+MEDIAN('planning '!$J66,F$1,F$2)-MEDIAN('planning '!$H66,F$1,F$2)))-'planning '!AA66</f>
        <v>6.5277777777777768E-2</v>
      </c>
      <c r="G65" s="237" t="s">
        <v>21</v>
      </c>
      <c r="H65" s="235">
        <f>IF(OR('planning '!$H66="",'planning '!$J66=""),0,IF('planning '!$J66&gt;'planning '!$H66,MEDIAN('planning '!$J66,H$2,H$1)-MEDIAN('planning '!$H66,H$2,H$1),+('planning '!$J66&lt;'planning '!$H66)*(H$2-H$1)+MEDIAN('planning '!$J66,H$1,H$2)-MEDIAN('planning '!$H66,H$1,H$2)))</f>
        <v>0</v>
      </c>
      <c r="I65" s="237"/>
      <c r="J65" s="234">
        <f>IF(OR('planning '!$H66="",'planning '!$J66=""),0,IF('planning '!$J66&gt;'planning '!$H66,MEDIAN('planning '!$J66,J$2,J$1)-MEDIAN('planning '!$H66,J$2,J$1),+('planning '!$J66&lt;'planning '!$H66)*(J$2-J$1)+MEDIAN('planning '!$J66,J$1,J$2)-MEDIAN('planning '!$H66,J$1,J$2)))</f>
        <v>0.45</v>
      </c>
      <c r="K65" s="237"/>
      <c r="M65" s="17"/>
      <c r="N65" s="243" t="s">
        <v>117</v>
      </c>
      <c r="O65" s="243" t="s">
        <v>115</v>
      </c>
      <c r="P65" s="243" t="s">
        <v>116</v>
      </c>
      <c r="Q65" s="243" t="s">
        <v>118</v>
      </c>
    </row>
    <row r="66" spans="2:17" x14ac:dyDescent="0.25">
      <c r="B66" s="231" t="str">
        <f>'planning '!F67</f>
        <v>travail</v>
      </c>
      <c r="C66" s="232">
        <f>C65+1</f>
        <v>43874</v>
      </c>
      <c r="D66" s="233"/>
      <c r="E66" s="240"/>
      <c r="F66" s="235">
        <f>IF(OR('planning '!$H67="",'planning '!$J67=""),0,IF('planning '!$J67&gt;'planning '!$H67,MEDIAN('planning '!$J67,F$2,F$1)-MEDIAN('planning '!$H67,F$2,F$1),+('planning '!$J67&lt;'planning '!$H67)*(F$2-F$1)+MEDIAN('planning '!$J67,F$1,F$2)-MEDIAN('planning '!$H67,F$1,F$2)))-'planning '!AA67</f>
        <v>7.2222222222222188E-2</v>
      </c>
      <c r="G66" s="237" t="s">
        <v>21</v>
      </c>
      <c r="H66" s="235">
        <f>IF(OR('planning '!$H67="",'planning '!$J67=""),0,IF('planning '!$J67&gt;'planning '!$H67,MEDIAN('planning '!$J67,H$2,H$1)-MEDIAN('planning '!$H67,H$2,H$1),+('planning '!$J67&lt;'planning '!$H67)*(H$2-H$1)+MEDIAN('planning '!$J67,H$1,H$2)-MEDIAN('planning '!$H67,H$1,H$2)))</f>
        <v>0</v>
      </c>
      <c r="I66" s="237"/>
      <c r="J66" s="234">
        <f>IF(OR('planning '!$H67="",'planning '!$J67=""),0,IF('planning '!$J67&gt;'planning '!$H67,MEDIAN('planning '!$J67,J$2,J$1)-MEDIAN('planning '!$H67,J$2,J$1),+('planning '!$J67&lt;'planning '!$H67)*(J$2-J$1)+MEDIAN('planning '!$J67,J$1,J$2)-MEDIAN('planning '!$H67,J$1,J$2)))</f>
        <v>0.4201388888888889</v>
      </c>
      <c r="K66" s="237"/>
      <c r="M66" s="231" t="s">
        <v>111</v>
      </c>
      <c r="N66" s="261">
        <f t="shared" ref="N66:Q67" ca="1" si="12">SUMIF(OFFSET($C64:$C71,0,MATCH(N$10,$B$5:$H$5,0)-1,7,1),$K67,OFFSET($B64:$B70,0,MATCH(N$10,$B$5:$H$5,0)-1,7,1))</f>
        <v>0</v>
      </c>
      <c r="O66" s="261">
        <f t="shared" ca="1" si="12"/>
        <v>0</v>
      </c>
      <c r="P66" s="261">
        <f t="shared" ca="1" si="12"/>
        <v>0</v>
      </c>
      <c r="Q66" s="261">
        <f t="shared" ca="1" si="12"/>
        <v>0</v>
      </c>
    </row>
    <row r="67" spans="2:17" x14ac:dyDescent="0.25">
      <c r="B67" s="231" t="str">
        <f>'planning '!F68</f>
        <v>travail</v>
      </c>
      <c r="C67" s="232">
        <f t="shared" ref="C67:C70" si="13">C66+1</f>
        <v>43875</v>
      </c>
      <c r="D67" s="233"/>
      <c r="E67" s="240"/>
      <c r="F67" s="235">
        <f>IF(OR('planning '!$H68="",'planning '!$J68=""),0,IF('planning '!$J68&gt;'planning '!$H68,MEDIAN('planning '!$J68,F$2,F$1)-MEDIAN('planning '!$H68,F$2,F$1),+('planning '!$J68&lt;'planning '!$H68)*(F$2-F$1)+MEDIAN('planning '!$J68,F$1,F$2)-MEDIAN('planning '!$H68,F$1,F$2)))-'planning '!AA68</f>
        <v>0.13402777777777763</v>
      </c>
      <c r="G67" s="237" t="s">
        <v>21</v>
      </c>
      <c r="H67" s="235">
        <f>IF(OR('planning '!$H68="",'planning '!$J68=""),0,IF('planning '!$J68&gt;'planning '!$H68,MEDIAN('planning '!$J68,H$2,H$1)-MEDIAN('planning '!$H68,H$2,H$1),+('planning '!$J68&lt;'planning '!$H68)*(H$2-H$1)+MEDIAN('planning '!$J68,H$1,H$2)-MEDIAN('planning '!$H68,H$1,H$2)))</f>
        <v>0</v>
      </c>
      <c r="I67" s="237"/>
      <c r="J67" s="234">
        <f>IF(OR('planning '!$H68="",'planning '!$J68=""),0,IF('planning '!$J68&gt;'planning '!$H68,MEDIAN('planning '!$J68,J$2,J$1)-MEDIAN('planning '!$H68,J$2,J$1),+('planning '!$J68&lt;'planning '!$H68)*(J$2-J$1)+MEDIAN('planning '!$J68,J$1,J$2)-MEDIAN('planning '!$H68,J$1,J$2)))</f>
        <v>0.5263888888888888</v>
      </c>
      <c r="K67" s="237"/>
      <c r="M67" s="231" t="s">
        <v>21</v>
      </c>
      <c r="N67" s="261">
        <f t="shared" ca="1" si="12"/>
        <v>0</v>
      </c>
      <c r="O67" s="261">
        <f t="shared" ca="1" si="12"/>
        <v>0</v>
      </c>
      <c r="P67" s="261">
        <f t="shared" ca="1" si="12"/>
        <v>0</v>
      </c>
      <c r="Q67" s="261">
        <f t="shared" ca="1" si="12"/>
        <v>0</v>
      </c>
    </row>
    <row r="68" spans="2:17" x14ac:dyDescent="0.25">
      <c r="B68" s="231" t="str">
        <f>'planning '!F69</f>
        <v>travail</v>
      </c>
      <c r="C68" s="232">
        <f t="shared" si="13"/>
        <v>43876</v>
      </c>
      <c r="D68" s="233"/>
      <c r="E68" s="240"/>
      <c r="F68" s="235">
        <f>IF(OR('planning '!$H69="",'planning '!$J69=""),0,IF('planning '!$J69&gt;'planning '!$H69,MEDIAN('planning '!$J69,F$2,F$1)-MEDIAN('planning '!$H69,F$2,F$1),+('planning '!$J69&lt;'planning '!$H69)*(F$2-F$1)+MEDIAN('planning '!$J69,F$1,F$2)-MEDIAN('planning '!$H69,F$1,F$2)))-'planning '!AA69</f>
        <v>0</v>
      </c>
      <c r="G68" s="237"/>
      <c r="H68" s="235">
        <f>IF(OR('planning '!$H69="",'planning '!$J69=""),0,IF('planning '!$J69&gt;'planning '!$H69,MEDIAN('planning '!$J69,H$2,H$1)-MEDIAN('planning '!$H69,H$2,H$1),+('planning '!$J69&lt;'planning '!$H69)*(H$2-H$1)+MEDIAN('planning '!$J69,H$1,H$2)-MEDIAN('planning '!$H69,H$1,H$2)))</f>
        <v>0</v>
      </c>
      <c r="I68" s="237"/>
      <c r="J68" s="234">
        <f>IF(OR('planning '!$H69="",'planning '!$J69=""),0,IF('planning '!$J69&gt;'planning '!$H69,MEDIAN('planning '!$J69,J$2,J$1)-MEDIAN('planning '!$H69,J$2,J$1),+('planning '!$J69&lt;'planning '!$H69)*(J$2-J$1)+MEDIAN('planning '!$J69,J$1,J$2)-MEDIAN('planning '!$H69,J$1,J$2)))</f>
        <v>0.3618055555555556</v>
      </c>
      <c r="K68" s="237"/>
      <c r="M68" s="17"/>
      <c r="N68" s="17"/>
      <c r="O68" s="17"/>
      <c r="P68" s="17"/>
      <c r="Q68" s="17"/>
    </row>
    <row r="69" spans="2:17" x14ac:dyDescent="0.25">
      <c r="B69" s="231" t="str">
        <f>'planning '!F70</f>
        <v>off</v>
      </c>
      <c r="C69" s="232">
        <f t="shared" si="13"/>
        <v>43877</v>
      </c>
      <c r="D69" s="233">
        <f>IF(OR('planning '!$H70="",'planning '!$J70=""),0,IF('planning '!$J70&gt;'planning '!$H70,MEDIAN('planning '!$J70,D$2,D$1)-MEDIAN('planning '!$H70,D$2,D$1),+('planning '!$J70&lt;'planning '!$H70)*(D$2-D$1)+MEDIAN('planning '!$J70,D$1,D$2)-MEDIAN('planning '!$H70,D$1,D$2)))-'planning '!V70</f>
        <v>0</v>
      </c>
      <c r="E69" s="240"/>
      <c r="F69" s="235">
        <f>IF(OR('planning '!$H70="",'planning '!$J70=""),0,IF('planning '!$J70&gt;'planning '!$H70,MEDIAN('planning '!$J70,F$2,F$1)-MEDIAN('planning '!$H70,F$2,F$1),+('planning '!$J70&lt;'planning '!$H70)*(F$2-F$1)+MEDIAN('planning '!$J70,F$1,F$2)-MEDIAN('planning '!$H70,F$1,F$2)))-'planning '!AA70</f>
        <v>0</v>
      </c>
      <c r="G69" s="237"/>
      <c r="H69" s="235">
        <f>IF(OR('planning '!$H70="",'planning '!$J70=""),0,IF('planning '!$J70&gt;'planning '!$H70,MEDIAN('planning '!$J70,H$2,H$1)-MEDIAN('planning '!$H70,H$2,H$1),+('planning '!$J70&lt;'planning '!$H70)*(H$2-H$1)+MEDIAN('planning '!$J70,H$1,H$2)-MEDIAN('planning '!$H70,H$1,H$2)))</f>
        <v>0</v>
      </c>
      <c r="I69" s="237"/>
      <c r="J69" s="234">
        <f>IF(OR('planning '!$H70="",'planning '!$J70=""),0,IF('planning '!$J70&gt;'planning '!$H70,MEDIAN('planning '!$J70,J$2,J$1)-MEDIAN('planning '!$H70,J$2,J$1),+('planning '!$J70&lt;'planning '!$H70)*(J$2-J$1)+MEDIAN('planning '!$J70,J$1,J$2)-MEDIAN('planning '!$H70,J$1,J$2)))</f>
        <v>0</v>
      </c>
      <c r="K69" s="237"/>
      <c r="M69" s="17"/>
      <c r="N69" s="17"/>
      <c r="O69" s="17"/>
      <c r="P69" s="17"/>
      <c r="Q69" s="17"/>
    </row>
    <row r="70" spans="2:17" ht="15.75" thickBot="1" x14ac:dyDescent="0.3">
      <c r="B70" s="231" t="str">
        <f>'planning '!F71</f>
        <v>off</v>
      </c>
      <c r="C70" s="232">
        <f t="shared" si="13"/>
        <v>43878</v>
      </c>
      <c r="D70" s="233">
        <f>IF(OR('planning '!$H71="",'planning '!$J71=""),0,IF('planning '!$J71&gt;'planning '!$H71,MEDIAN('planning '!$J71,D$2,D$1)-MEDIAN('planning '!$H71,D$2,D$1),+('planning '!$J71&lt;'planning '!$H71)*(D$2-D$1)+MEDIAN('planning '!$J71,D$1,D$2)-MEDIAN('planning '!$H71,D$1,D$2)))-'planning '!V71</f>
        <v>0</v>
      </c>
      <c r="E70" s="241"/>
      <c r="F70" s="235">
        <f>IF(OR('planning '!$H71="",'planning '!$J71=""),0,IF('planning '!$J71&gt;'planning '!$H71,MEDIAN('planning '!$J71,F$2,F$1)-MEDIAN('planning '!$H71,F$2,F$1),+('planning '!$J71&lt;'planning '!$H71)*(F$2-F$1)+MEDIAN('planning '!$J71,F$1,F$2)-MEDIAN('planning '!$H71,F$1,F$2)))-'planning '!AA71</f>
        <v>0</v>
      </c>
      <c r="G70" s="238"/>
      <c r="H70" s="235">
        <f>IF(OR('planning '!$H71="",'planning '!$J71=""),0,IF('planning '!$J71&gt;'planning '!$H71,MEDIAN('planning '!$J71,H$2,H$1)-MEDIAN('planning '!$H71,H$2,H$1),+('planning '!$J71&lt;'planning '!$H71)*(H$2-H$1)+MEDIAN('planning '!$J71,H$1,H$2)-MEDIAN('planning '!$H71,H$1,H$2)))</f>
        <v>0</v>
      </c>
      <c r="I70" s="238"/>
      <c r="J70" s="234">
        <f>IF(OR('planning '!$H71="",'planning '!$J71=""),0,IF('planning '!$J71&gt;'planning '!$H71,MEDIAN('planning '!$J71,J$2,J$1)-MEDIAN('planning '!$H71,J$2,J$1),+('planning '!$J71&lt;'planning '!$H71)*(J$2-J$1)+MEDIAN('planning '!$J71,J$1,J$2)-MEDIAN('planning '!$H71,J$1,J$2)))</f>
        <v>0</v>
      </c>
      <c r="K70" s="238"/>
      <c r="M70" s="17"/>
      <c r="N70" s="17"/>
      <c r="O70" s="17"/>
      <c r="P70" s="17"/>
      <c r="Q70" s="17"/>
    </row>
    <row r="71" spans="2:17" x14ac:dyDescent="0.25">
      <c r="M71" s="17"/>
      <c r="N71" s="17"/>
      <c r="O71" s="17"/>
      <c r="P71" s="17"/>
      <c r="Q71" s="17"/>
    </row>
    <row r="72" spans="2:17" x14ac:dyDescent="0.25">
      <c r="M72" s="17"/>
      <c r="N72" s="17"/>
      <c r="O72" s="17"/>
      <c r="P72" s="17"/>
      <c r="Q72" s="17"/>
    </row>
    <row r="73" spans="2:17" ht="15.75" thickBot="1" x14ac:dyDescent="0.3">
      <c r="M73" s="17"/>
      <c r="N73" s="17"/>
      <c r="O73" s="17"/>
      <c r="P73" s="17"/>
      <c r="Q73" s="17"/>
    </row>
    <row r="74" spans="2:17" x14ac:dyDescent="0.25">
      <c r="B74" s="231" t="str">
        <f>'planning '!F75</f>
        <v>congé 1 jour</v>
      </c>
      <c r="C74" s="232">
        <f>'planning '!E75</f>
        <v>43879</v>
      </c>
      <c r="D74" s="233"/>
      <c r="E74" s="239"/>
      <c r="F74" s="235">
        <f>IF(OR('planning '!$H75="",'planning '!$J75=""),0,IF('planning '!$J75&gt;'planning '!$H75,MEDIAN('planning '!$J75,F$2,F$1)-MEDIAN('planning '!$H75,F$2,F$1),+('planning '!$J75&lt;'planning '!$H75)*(F$2-F$1)+MEDIAN('planning '!$J75,F$1,F$2)-MEDIAN('planning '!$H75,F$1,F$2)))-'planning '!AA75</f>
        <v>0</v>
      </c>
      <c r="G74" s="236"/>
      <c r="H74" s="235">
        <f>IF(OR('planning '!$H75="",'planning '!$J75=""),0,IF('planning '!$J75&gt;'planning '!$H75,MEDIAN('planning '!$J75,H$2,H$1)-MEDIAN('planning '!$H75,H$2,H$1),+('planning '!$J75&lt;'planning '!$H75)*(H$2-H$1)+MEDIAN('planning '!$J75,H$1,H$2)-MEDIAN('planning '!$H75,H$1,H$2)))</f>
        <v>0</v>
      </c>
      <c r="I74" s="236"/>
      <c r="J74" s="234">
        <f>IF(OR('planning '!$H75="",'planning '!$J75=""),0,IF('planning '!$J75&gt;'planning '!$H75,MEDIAN('planning '!$J75,J$2,J$1)-MEDIAN('planning '!$H75,J$2,J$1),+('planning '!$J75&lt;'planning '!$H75)*(J$2-J$1)+MEDIAN('planning '!$J75,J$1,J$2)-MEDIAN('planning '!$H75,J$1,J$2)))</f>
        <v>0</v>
      </c>
      <c r="K74" s="236"/>
      <c r="M74" s="17"/>
      <c r="N74" s="264"/>
      <c r="O74" s="265" t="s">
        <v>114</v>
      </c>
      <c r="P74" s="266"/>
      <c r="Q74" s="17"/>
    </row>
    <row r="75" spans="2:17" x14ac:dyDescent="0.25">
      <c r="B75" s="231" t="str">
        <f>'planning '!F76</f>
        <v>congé 1 jour</v>
      </c>
      <c r="C75" s="232">
        <f>C74+1</f>
        <v>43880</v>
      </c>
      <c r="D75" s="233"/>
      <c r="E75" s="240"/>
      <c r="F75" s="235">
        <f>IF(OR('planning '!$H76="",'planning '!$J76=""),0,IF('planning '!$J76&gt;'planning '!$H76,MEDIAN('planning '!$J76,F$2,F$1)-MEDIAN('planning '!$H76,F$2,F$1),+('planning '!$J76&lt;'planning '!$H76)*(F$2-F$1)+MEDIAN('planning '!$J76,F$1,F$2)-MEDIAN('planning '!$H76,F$1,F$2)))-'planning '!AA76</f>
        <v>0</v>
      </c>
      <c r="G75" s="237"/>
      <c r="H75" s="235">
        <f>IF(OR('planning '!$H76="",'planning '!$J76=""),0,IF('planning '!$J76&gt;'planning '!$H76,MEDIAN('planning '!$J76,H$2,H$1)-MEDIAN('planning '!$H76,H$2,H$1),+('planning '!$J76&lt;'planning '!$H76)*(H$2-H$1)+MEDIAN('planning '!$J76,H$1,H$2)-MEDIAN('planning '!$H76,H$1,H$2)))</f>
        <v>0</v>
      </c>
      <c r="I75" s="237"/>
      <c r="J75" s="234">
        <f>IF(OR('planning '!$H76="",'planning '!$J76=""),0,IF('planning '!$J76&gt;'planning '!$H76,MEDIAN('planning '!$J76,J$2,J$1)-MEDIAN('planning '!$H76,J$2,J$1),+('planning '!$J76&lt;'planning '!$H76)*(J$2-J$1)+MEDIAN('planning '!$J76,J$1,J$2)-MEDIAN('planning '!$H76,J$1,J$2)))</f>
        <v>0</v>
      </c>
      <c r="K75" s="237"/>
      <c r="M75" s="17"/>
      <c r="N75" s="263" t="s">
        <v>117</v>
      </c>
      <c r="O75" s="263" t="s">
        <v>115</v>
      </c>
      <c r="P75" s="263" t="s">
        <v>116</v>
      </c>
      <c r="Q75" s="243" t="s">
        <v>118</v>
      </c>
    </row>
    <row r="76" spans="2:17" x14ac:dyDescent="0.25">
      <c r="B76" s="231" t="str">
        <f>'planning '!F77</f>
        <v>congé 1 jour</v>
      </c>
      <c r="C76" s="232">
        <f>C75+1</f>
        <v>43881</v>
      </c>
      <c r="D76" s="233"/>
      <c r="E76" s="240"/>
      <c r="F76" s="235">
        <f>IF(OR('planning '!$H77="",'planning '!$J77=""),0,IF('planning '!$J77&gt;'planning '!$H77,MEDIAN('planning '!$J77,F$2,F$1)-MEDIAN('planning '!$H77,F$2,F$1),+('planning '!$J77&lt;'planning '!$H77)*(F$2-F$1)+MEDIAN('planning '!$J77,F$1,F$2)-MEDIAN('planning '!$H77,F$1,F$2)))-'planning '!AA77</f>
        <v>0</v>
      </c>
      <c r="G76" s="237"/>
      <c r="H76" s="235">
        <f>IF(OR('planning '!$H77="",'planning '!$J77=""),0,IF('planning '!$J77&gt;'planning '!$H77,MEDIAN('planning '!$J77,H$2,H$1)-MEDIAN('planning '!$H77,H$2,H$1),+('planning '!$J77&lt;'planning '!$H77)*(H$2-H$1)+MEDIAN('planning '!$J77,H$1,H$2)-MEDIAN('planning '!$H77,H$1,H$2)))</f>
        <v>0</v>
      </c>
      <c r="I76" s="237"/>
      <c r="J76" s="234">
        <f>IF(OR('planning '!$H77="",'planning '!$J77=""),0,IF('planning '!$J77&gt;'planning '!$H77,MEDIAN('planning '!$J77,J$2,J$1)-MEDIAN('planning '!$H77,J$2,J$1),+('planning '!$J77&lt;'planning '!$H77)*(J$2-J$1)+MEDIAN('planning '!$J77,J$1,J$2)-MEDIAN('planning '!$H77,J$1,J$2)))</f>
        <v>0</v>
      </c>
      <c r="K76" s="237"/>
      <c r="M76" s="231" t="s">
        <v>111</v>
      </c>
      <c r="N76" s="261">
        <f t="shared" ref="N76:Q77" ca="1" si="14">SUMIF(OFFSET($C74:$C81,0,MATCH(N$10,$B$5:$H$5,0)-1,7,1),$K77,OFFSET($B74:$B80,0,MATCH(N$10,$B$5:$H$5,0)-1,7,1))</f>
        <v>0</v>
      </c>
      <c r="O76" s="261">
        <f t="shared" ca="1" si="14"/>
        <v>0</v>
      </c>
      <c r="P76" s="261">
        <f t="shared" ca="1" si="14"/>
        <v>0</v>
      </c>
      <c r="Q76" s="261">
        <f t="shared" ca="1" si="14"/>
        <v>0</v>
      </c>
    </row>
    <row r="77" spans="2:17" x14ac:dyDescent="0.25">
      <c r="B77" s="231" t="str">
        <f>'planning '!F78</f>
        <v>congé 1 jour</v>
      </c>
      <c r="C77" s="232">
        <f t="shared" ref="C77:C80" si="15">C76+1</f>
        <v>43882</v>
      </c>
      <c r="D77" s="233"/>
      <c r="E77" s="240"/>
      <c r="F77" s="235">
        <f>IF(OR('planning '!$H78="",'planning '!$J78=""),0,IF('planning '!$J78&gt;'planning '!$H78,MEDIAN('planning '!$J78,F$2,F$1)-MEDIAN('planning '!$H78,F$2,F$1),+('planning '!$J78&lt;'planning '!$H78)*(F$2-F$1)+MEDIAN('planning '!$J78,F$1,F$2)-MEDIAN('planning '!$H78,F$1,F$2)))-'planning '!AA78</f>
        <v>0</v>
      </c>
      <c r="G77" s="237"/>
      <c r="H77" s="235">
        <f>IF(OR('planning '!$H78="",'planning '!$J78=""),0,IF('planning '!$J78&gt;'planning '!$H78,MEDIAN('planning '!$J78,H$2,H$1)-MEDIAN('planning '!$H78,H$2,H$1),+('planning '!$J78&lt;'planning '!$H78)*(H$2-H$1)+MEDIAN('planning '!$J78,H$1,H$2)-MEDIAN('planning '!$H78,H$1,H$2)))</f>
        <v>0</v>
      </c>
      <c r="I77" s="237"/>
      <c r="J77" s="234">
        <f>IF(OR('planning '!$H78="",'planning '!$J78=""),0,IF('planning '!$J78&gt;'planning '!$H78,MEDIAN('planning '!$J78,J$2,J$1)-MEDIAN('planning '!$H78,J$2,J$1),+('planning '!$J78&lt;'planning '!$H78)*(J$2-J$1)+MEDIAN('planning '!$J78,J$1,J$2)-MEDIAN('planning '!$H78,J$1,J$2)))</f>
        <v>0</v>
      </c>
      <c r="K77" s="237"/>
      <c r="M77" s="231" t="s">
        <v>21</v>
      </c>
      <c r="N77" s="261">
        <f t="shared" ca="1" si="14"/>
        <v>0</v>
      </c>
      <c r="O77" s="261">
        <f t="shared" ca="1" si="14"/>
        <v>0</v>
      </c>
      <c r="P77" s="261">
        <f t="shared" ca="1" si="14"/>
        <v>0</v>
      </c>
      <c r="Q77" s="261">
        <f t="shared" ca="1" si="14"/>
        <v>0</v>
      </c>
    </row>
    <row r="78" spans="2:17" x14ac:dyDescent="0.25">
      <c r="B78" s="231" t="str">
        <f>'planning '!F79</f>
        <v>congé 1 jour</v>
      </c>
      <c r="C78" s="232">
        <f t="shared" si="15"/>
        <v>43883</v>
      </c>
      <c r="D78" s="233"/>
      <c r="E78" s="240"/>
      <c r="F78" s="235">
        <f>IF(OR('planning '!$H79="",'planning '!$J79=""),0,IF('planning '!$J79&gt;'planning '!$H79,MEDIAN('planning '!$J79,F$2,F$1)-MEDIAN('planning '!$H79,F$2,F$1),+('planning '!$J79&lt;'planning '!$H79)*(F$2-F$1)+MEDIAN('planning '!$J79,F$1,F$2)-MEDIAN('planning '!$H79,F$1,F$2)))-'planning '!AA79</f>
        <v>0</v>
      </c>
      <c r="G78" s="237"/>
      <c r="H78" s="235">
        <f>IF(OR('planning '!$H79="",'planning '!$J79=""),0,IF('planning '!$J79&gt;'planning '!$H79,MEDIAN('planning '!$J79,H$2,H$1)-MEDIAN('planning '!$H79,H$2,H$1),+('planning '!$J79&lt;'planning '!$H79)*(H$2-H$1)+MEDIAN('planning '!$J79,H$1,H$2)-MEDIAN('planning '!$H79,H$1,H$2)))</f>
        <v>0</v>
      </c>
      <c r="I78" s="237"/>
      <c r="J78" s="234">
        <f>IF(OR('planning '!$H79="",'planning '!$J79=""),0,IF('planning '!$J79&gt;'planning '!$H79,MEDIAN('planning '!$J79,J$2,J$1)-MEDIAN('planning '!$H79,J$2,J$1),+('planning '!$J79&lt;'planning '!$H79)*(J$2-J$1)+MEDIAN('planning '!$J79,J$1,J$2)-MEDIAN('planning '!$H79,J$1,J$2)))</f>
        <v>0</v>
      </c>
      <c r="K78" s="237"/>
      <c r="M78" s="17"/>
      <c r="N78" s="17"/>
      <c r="O78" s="17"/>
      <c r="P78" s="17"/>
      <c r="Q78" s="17"/>
    </row>
    <row r="79" spans="2:17" x14ac:dyDescent="0.25">
      <c r="B79" s="231" t="str">
        <f>'planning '!F80</f>
        <v>off</v>
      </c>
      <c r="C79" s="232">
        <f t="shared" si="15"/>
        <v>43884</v>
      </c>
      <c r="D79" s="233">
        <f>IF(OR('planning '!$H80="",'planning '!$J80=""),0,IF('planning '!$J80&gt;'planning '!$H80,MEDIAN('planning '!$J80,D$2,D$1)-MEDIAN('planning '!$H80,D$2,D$1),+('planning '!$J80&lt;'planning '!$H80)*(D$2-D$1)+MEDIAN('planning '!$J80,D$1,D$2)-MEDIAN('planning '!$H80,D$1,D$2)))-'planning '!V80</f>
        <v>0</v>
      </c>
      <c r="E79" s="240"/>
      <c r="F79" s="235">
        <f>IF(OR('planning '!$H80="",'planning '!$J80=""),0,IF('planning '!$J80&gt;'planning '!$H80,MEDIAN('planning '!$J80,F$2,F$1)-MEDIAN('planning '!$H80,F$2,F$1),+('planning '!$J80&lt;'planning '!$H80)*(F$2-F$1)+MEDIAN('planning '!$J80,F$1,F$2)-MEDIAN('planning '!$H80,F$1,F$2)))-'planning '!AA80</f>
        <v>0</v>
      </c>
      <c r="G79" s="237"/>
      <c r="H79" s="235">
        <f>IF(OR('planning '!$H80="",'planning '!$J80=""),0,IF('planning '!$J80&gt;'planning '!$H80,MEDIAN('planning '!$J80,H$2,H$1)-MEDIAN('planning '!$H80,H$2,H$1),+('planning '!$J80&lt;'planning '!$H80)*(H$2-H$1)+MEDIAN('planning '!$J80,H$1,H$2)-MEDIAN('planning '!$H80,H$1,H$2)))</f>
        <v>0</v>
      </c>
      <c r="I79" s="237"/>
      <c r="J79" s="234">
        <f>IF(OR('planning '!$H80="",'planning '!$J80=""),0,IF('planning '!$J80&gt;'planning '!$H80,MEDIAN('planning '!$J80,J$2,J$1)-MEDIAN('planning '!$H80,J$2,J$1),+('planning '!$J80&lt;'planning '!$H80)*(J$2-J$1)+MEDIAN('planning '!$J80,J$1,J$2)-MEDIAN('planning '!$H80,J$1,J$2)))</f>
        <v>0</v>
      </c>
      <c r="K79" s="237"/>
      <c r="M79" s="17"/>
      <c r="N79" s="17"/>
      <c r="O79" s="17"/>
      <c r="P79" s="17"/>
      <c r="Q79" s="17"/>
    </row>
    <row r="80" spans="2:17" ht="15.75" thickBot="1" x14ac:dyDescent="0.3">
      <c r="B80" s="231" t="str">
        <f>'planning '!F81</f>
        <v>off</v>
      </c>
      <c r="C80" s="232">
        <f t="shared" si="15"/>
        <v>43885</v>
      </c>
      <c r="D80" s="233">
        <f>IF(OR('planning '!$H81="",'planning '!$J81=""),0,IF('planning '!$J81&gt;'planning '!$H81,MEDIAN('planning '!$J81,D$2,D$1)-MEDIAN('planning '!$H81,D$2,D$1),+('planning '!$J81&lt;'planning '!$H81)*(D$2-D$1)+MEDIAN('planning '!$J81,D$1,D$2)-MEDIAN('planning '!$H81,D$1,D$2)))-'planning '!V81</f>
        <v>0</v>
      </c>
      <c r="E80" s="241"/>
      <c r="F80" s="235">
        <f>IF(OR('planning '!$H81="",'planning '!$J81=""),0,IF('planning '!$J81&gt;'planning '!$H81,MEDIAN('planning '!$J81,F$2,F$1)-MEDIAN('planning '!$H81,F$2,F$1),+('planning '!$J81&lt;'planning '!$H81)*(F$2-F$1)+MEDIAN('planning '!$J81,F$1,F$2)-MEDIAN('planning '!$H81,F$1,F$2)))-'planning '!AA81</f>
        <v>0</v>
      </c>
      <c r="G80" s="238"/>
      <c r="H80" s="235">
        <f>IF(OR('planning '!$H81="",'planning '!$J81=""),0,IF('planning '!$J81&gt;'planning '!$H81,MEDIAN('planning '!$J81,H$2,H$1)-MEDIAN('planning '!$H81,H$2,H$1),+('planning '!$J81&lt;'planning '!$H81)*(H$2-H$1)+MEDIAN('planning '!$J81,H$1,H$2)-MEDIAN('planning '!$H81,H$1,H$2)))</f>
        <v>0</v>
      </c>
      <c r="I80" s="238"/>
      <c r="J80" s="234">
        <f>IF(OR('planning '!$H81="",'planning '!$J81=""),0,IF('planning '!$J81&gt;'planning '!$H81,MEDIAN('planning '!$J81,J$2,J$1)-MEDIAN('planning '!$H81,J$2,J$1),+('planning '!$J81&lt;'planning '!$H81)*(J$2-J$1)+MEDIAN('planning '!$J81,J$1,J$2)-MEDIAN('planning '!$H81,J$1,J$2)))</f>
        <v>0</v>
      </c>
      <c r="K80" s="238"/>
      <c r="M80" s="17"/>
      <c r="N80" s="17"/>
      <c r="O80" s="17"/>
      <c r="P80" s="17"/>
      <c r="Q80" s="17"/>
    </row>
    <row r="81" spans="2:17" x14ac:dyDescent="0.25">
      <c r="M81" s="17"/>
      <c r="N81" s="17"/>
      <c r="O81" s="17"/>
      <c r="P81" s="17"/>
      <c r="Q81" s="17"/>
    </row>
    <row r="82" spans="2:17" x14ac:dyDescent="0.25">
      <c r="M82" s="17"/>
      <c r="N82" s="17"/>
      <c r="O82" s="17"/>
      <c r="P82" s="17"/>
      <c r="Q82" s="17"/>
    </row>
    <row r="83" spans="2:17" ht="15.75" thickBot="1" x14ac:dyDescent="0.3">
      <c r="M83" s="17"/>
      <c r="N83" s="17"/>
      <c r="O83" s="17"/>
      <c r="P83" s="17"/>
      <c r="Q83" s="17"/>
    </row>
    <row r="84" spans="2:17" x14ac:dyDescent="0.25">
      <c r="B84" s="231" t="str">
        <f>'planning '!F85</f>
        <v>arrêt maladie</v>
      </c>
      <c r="C84" s="232">
        <f>'planning '!E85</f>
        <v>43886</v>
      </c>
      <c r="D84" s="233"/>
      <c r="E84" s="239"/>
      <c r="F84" s="235">
        <f>IF(OR('planning '!$H85="",'planning '!$J85=""),0,IF('planning '!$J85&gt;'planning '!$H85,MEDIAN('planning '!$J85,F$2,F$1)-MEDIAN('planning '!$H85,F$2,F$1),+('planning '!$J85&lt;'planning '!$H85)*(F$2-F$1)+MEDIAN('planning '!$J85,F$1,F$2)-MEDIAN('planning '!$H85,F$1,F$2)))-'planning '!AA85</f>
        <v>0</v>
      </c>
      <c r="G84" s="236"/>
      <c r="H84" s="235">
        <f>IF(OR('planning '!$H85="",'planning '!$J85=""),0,IF('planning '!$J85&gt;'planning '!$H85,MEDIAN('planning '!$J85,H$2,H$1)-MEDIAN('planning '!$H85,H$2,H$1),+('planning '!$J85&lt;'planning '!$H85)*(H$2-H$1)+MEDIAN('planning '!$J85,H$1,H$2)-MEDIAN('planning '!$H85,H$1,H$2)))</f>
        <v>0</v>
      </c>
      <c r="I84" s="236"/>
      <c r="J84" s="234">
        <f>IF(OR('planning '!$H85="",'planning '!$J85=""),0,IF('planning '!$J85&gt;'planning '!$H85,MEDIAN('planning '!$J85,J$2,J$1)-MEDIAN('planning '!$H85,J$2,J$1),+('planning '!$J85&lt;'planning '!$H85)*(J$2-J$1)+MEDIAN('planning '!$J85,J$1,J$2)-MEDIAN('planning '!$H85,J$1,J$2)))</f>
        <v>0</v>
      </c>
      <c r="K84" s="236"/>
      <c r="M84" s="17"/>
      <c r="N84" s="264"/>
      <c r="O84" s="265" t="s">
        <v>114</v>
      </c>
      <c r="P84" s="266"/>
      <c r="Q84" s="17"/>
    </row>
    <row r="85" spans="2:17" x14ac:dyDescent="0.25">
      <c r="B85" s="231" t="str">
        <f>'planning '!F86</f>
        <v>arrêt maladie</v>
      </c>
      <c r="C85" s="232">
        <f>C84+1</f>
        <v>43887</v>
      </c>
      <c r="D85" s="233"/>
      <c r="E85" s="240"/>
      <c r="F85" s="235">
        <f>IF(OR('planning '!$H86="",'planning '!$J86=""),0,IF('planning '!$J86&gt;'planning '!$H86,MEDIAN('planning '!$J86,F$2,F$1)-MEDIAN('planning '!$H86,F$2,F$1),+('planning '!$J86&lt;'planning '!$H86)*(F$2-F$1)+MEDIAN('planning '!$J86,F$1,F$2)-MEDIAN('planning '!$H86,F$1,F$2)))-'planning '!AA86</f>
        <v>0</v>
      </c>
      <c r="G85" s="237"/>
      <c r="H85" s="235">
        <f>IF(OR('planning '!$H86="",'planning '!$J86=""),0,IF('planning '!$J86&gt;'planning '!$H86,MEDIAN('planning '!$J86,H$2,H$1)-MEDIAN('planning '!$H86,H$2,H$1),+('planning '!$J86&lt;'planning '!$H86)*(H$2-H$1)+MEDIAN('planning '!$J86,H$1,H$2)-MEDIAN('planning '!$H86,H$1,H$2)))</f>
        <v>0</v>
      </c>
      <c r="I85" s="237"/>
      <c r="J85" s="234">
        <f>IF(OR('planning '!$H86="",'planning '!$J86=""),0,IF('planning '!$J86&gt;'planning '!$H86,MEDIAN('planning '!$J86,J$2,J$1)-MEDIAN('planning '!$H86,J$2,J$1),+('planning '!$J86&lt;'planning '!$H86)*(J$2-J$1)+MEDIAN('planning '!$J86,J$1,J$2)-MEDIAN('planning '!$H86,J$1,J$2)))</f>
        <v>0</v>
      </c>
      <c r="K85" s="237"/>
      <c r="M85" s="17"/>
      <c r="N85" s="263" t="s">
        <v>117</v>
      </c>
      <c r="O85" s="263" t="s">
        <v>115</v>
      </c>
      <c r="P85" s="263" t="s">
        <v>116</v>
      </c>
      <c r="Q85" s="243" t="s">
        <v>118</v>
      </c>
    </row>
    <row r="86" spans="2:17" x14ac:dyDescent="0.25">
      <c r="B86" s="231" t="str">
        <f>'planning '!F87</f>
        <v>arrêt maladie</v>
      </c>
      <c r="C86" s="232">
        <f>C85+1</f>
        <v>43888</v>
      </c>
      <c r="D86" s="233"/>
      <c r="E86" s="240"/>
      <c r="F86" s="235">
        <f>IF(OR('planning '!$H87="",'planning '!$J87=""),0,IF('planning '!$J87&gt;'planning '!$H87,MEDIAN('planning '!$J87,F$2,F$1)-MEDIAN('planning '!$H87,F$2,F$1),+('planning '!$J87&lt;'planning '!$H87)*(F$2-F$1)+MEDIAN('planning '!$J87,F$1,F$2)-MEDIAN('planning '!$H87,F$1,F$2)))-'planning '!AA87</f>
        <v>0</v>
      </c>
      <c r="G86" s="237"/>
      <c r="H86" s="235">
        <f>IF(OR('planning '!$H87="",'planning '!$J87=""),0,IF('planning '!$J87&gt;'planning '!$H87,MEDIAN('planning '!$J87,H$2,H$1)-MEDIAN('planning '!$H87,H$2,H$1),+('planning '!$J87&lt;'planning '!$H87)*(H$2-H$1)+MEDIAN('planning '!$J87,H$1,H$2)-MEDIAN('planning '!$H87,H$1,H$2)))</f>
        <v>0</v>
      </c>
      <c r="I86" s="237"/>
      <c r="J86" s="234">
        <f>IF(OR('planning '!$H87="",'planning '!$J87=""),0,IF('planning '!$J87&gt;'planning '!$H87,MEDIAN('planning '!$J87,J$2,J$1)-MEDIAN('planning '!$H87,J$2,J$1),+('planning '!$J87&lt;'planning '!$H87)*(J$2-J$1)+MEDIAN('planning '!$J87,J$1,J$2)-MEDIAN('planning '!$H87,J$1,J$2)))</f>
        <v>0</v>
      </c>
      <c r="K86" s="237"/>
      <c r="M86" s="231" t="s">
        <v>111</v>
      </c>
      <c r="N86" s="261">
        <f t="shared" ref="N86:Q87" ca="1" si="16">SUMIF(OFFSET($C84:$C91,0,MATCH(N$10,$B$5:$H$5,0)-1,7,1),$K87,OFFSET($B84:$B90,0,MATCH(N$10,$B$5:$H$5,0)-1,7,1))</f>
        <v>0</v>
      </c>
      <c r="O86" s="261">
        <f t="shared" ca="1" si="16"/>
        <v>0</v>
      </c>
      <c r="P86" s="261">
        <f t="shared" ca="1" si="16"/>
        <v>0</v>
      </c>
      <c r="Q86" s="261">
        <f t="shared" ca="1" si="16"/>
        <v>0</v>
      </c>
    </row>
    <row r="87" spans="2:17" x14ac:dyDescent="0.25">
      <c r="B87" s="231" t="str">
        <f>'planning '!F88</f>
        <v>arrêt maladie</v>
      </c>
      <c r="C87" s="232">
        <f t="shared" ref="C87:C90" si="17">C86+1</f>
        <v>43889</v>
      </c>
      <c r="D87" s="233"/>
      <c r="E87" s="240"/>
      <c r="F87" s="235">
        <f>IF(OR('planning '!$H88="",'planning '!$J88=""),0,IF('planning '!$J88&gt;'planning '!$H88,MEDIAN('planning '!$J88,F$2,F$1)-MEDIAN('planning '!$H88,F$2,F$1),+('planning '!$J88&lt;'planning '!$H88)*(F$2-F$1)+MEDIAN('planning '!$J88,F$1,F$2)-MEDIAN('planning '!$H88,F$1,F$2)))-'planning '!AA88</f>
        <v>0</v>
      </c>
      <c r="G87" s="237"/>
      <c r="H87" s="235">
        <f>IF(OR('planning '!$H88="",'planning '!$J88=""),0,IF('planning '!$J88&gt;'planning '!$H88,MEDIAN('planning '!$J88,H$2,H$1)-MEDIAN('planning '!$H88,H$2,H$1),+('planning '!$J88&lt;'planning '!$H88)*(H$2-H$1)+MEDIAN('planning '!$J88,H$1,H$2)-MEDIAN('planning '!$H88,H$1,H$2)))</f>
        <v>0</v>
      </c>
      <c r="I87" s="237"/>
      <c r="J87" s="234">
        <f>IF(OR('planning '!$H88="",'planning '!$J88=""),0,IF('planning '!$J88&gt;'planning '!$H88,MEDIAN('planning '!$J88,J$2,J$1)-MEDIAN('planning '!$H88,J$2,J$1),+('planning '!$J88&lt;'planning '!$H88)*(J$2-J$1)+MEDIAN('planning '!$J88,J$1,J$2)-MEDIAN('planning '!$H88,J$1,J$2)))</f>
        <v>0</v>
      </c>
      <c r="K87" s="237"/>
      <c r="M87" s="231" t="s">
        <v>21</v>
      </c>
      <c r="N87" s="261">
        <f t="shared" ca="1" si="16"/>
        <v>0</v>
      </c>
      <c r="O87" s="261">
        <f t="shared" ca="1" si="16"/>
        <v>0</v>
      </c>
      <c r="P87" s="261">
        <f t="shared" ca="1" si="16"/>
        <v>0</v>
      </c>
      <c r="Q87" s="261">
        <f t="shared" ca="1" si="16"/>
        <v>0</v>
      </c>
    </row>
    <row r="88" spans="2:17" x14ac:dyDescent="0.25">
      <c r="B88" s="231" t="str">
        <f>'planning '!F89</f>
        <v>arrêt maladie</v>
      </c>
      <c r="C88" s="232">
        <f t="shared" si="17"/>
        <v>43890</v>
      </c>
      <c r="D88" s="233"/>
      <c r="E88" s="240"/>
      <c r="F88" s="235">
        <f>IF(OR('planning '!$H89="",'planning '!$J89=""),0,IF('planning '!$J89&gt;'planning '!$H89,MEDIAN('planning '!$J89,F$2,F$1)-MEDIAN('planning '!$H89,F$2,F$1),+('planning '!$J89&lt;'planning '!$H89)*(F$2-F$1)+MEDIAN('planning '!$J89,F$1,F$2)-MEDIAN('planning '!$H89,F$1,F$2)))-'planning '!AA89</f>
        <v>0</v>
      </c>
      <c r="G88" s="237"/>
      <c r="H88" s="235">
        <f>IF(OR('planning '!$H89="",'planning '!$J89=""),0,IF('planning '!$J89&gt;'planning '!$H89,MEDIAN('planning '!$J89,H$2,H$1)-MEDIAN('planning '!$H89,H$2,H$1),+('planning '!$J89&lt;'planning '!$H89)*(H$2-H$1)+MEDIAN('planning '!$J89,H$1,H$2)-MEDIAN('planning '!$H89,H$1,H$2)))</f>
        <v>0</v>
      </c>
      <c r="I88" s="237"/>
      <c r="J88" s="234">
        <f>IF(OR('planning '!$H89="",'planning '!$J89=""),0,IF('planning '!$J89&gt;'planning '!$H89,MEDIAN('planning '!$J89,J$2,J$1)-MEDIAN('planning '!$H89,J$2,J$1),+('planning '!$J89&lt;'planning '!$H89)*(J$2-J$1)+MEDIAN('planning '!$J89,J$1,J$2)-MEDIAN('planning '!$H89,J$1,J$2)))</f>
        <v>0</v>
      </c>
      <c r="K88" s="237"/>
      <c r="M88" s="17"/>
      <c r="N88" s="17"/>
      <c r="O88" s="17"/>
      <c r="P88" s="17"/>
      <c r="Q88" s="17"/>
    </row>
    <row r="89" spans="2:17" x14ac:dyDescent="0.25">
      <c r="B89" s="231" t="str">
        <f>'planning '!F90</f>
        <v>off</v>
      </c>
      <c r="C89" s="232">
        <f t="shared" si="17"/>
        <v>43891</v>
      </c>
      <c r="D89" s="233">
        <f>IF(OR('planning '!$H90="",'planning '!$J90=""),0,IF('planning '!$J90&gt;'planning '!$H90,MEDIAN('planning '!$J90,D$2,D$1)-MEDIAN('planning '!$H90,D$2,D$1),+('planning '!$J90&lt;'planning '!$H90)*(D$2-D$1)+MEDIAN('planning '!$J90,D$1,D$2)-MEDIAN('planning '!$H90,D$1,D$2)))-'planning '!V90</f>
        <v>0</v>
      </c>
      <c r="E89" s="240"/>
      <c r="F89" s="235">
        <f>IF(OR('planning '!$H90="",'planning '!$J90=""),0,IF('planning '!$J90&gt;'planning '!$H90,MEDIAN('planning '!$J90,F$2,F$1)-MEDIAN('planning '!$H90,F$2,F$1),+('planning '!$J90&lt;'planning '!$H90)*(F$2-F$1)+MEDIAN('planning '!$J90,F$1,F$2)-MEDIAN('planning '!$H90,F$1,F$2)))-'planning '!AA90</f>
        <v>0</v>
      </c>
      <c r="G89" s="237"/>
      <c r="H89" s="235">
        <f>IF(OR('planning '!$H90="",'planning '!$J90=""),0,IF('planning '!$J90&gt;'planning '!$H90,MEDIAN('planning '!$J90,H$2,H$1)-MEDIAN('planning '!$H90,H$2,H$1),+('planning '!$J90&lt;'planning '!$H90)*(H$2-H$1)+MEDIAN('planning '!$J90,H$1,H$2)-MEDIAN('planning '!$H90,H$1,H$2)))</f>
        <v>0</v>
      </c>
      <c r="I89" s="237"/>
      <c r="J89" s="234">
        <f>IF(OR('planning '!$H90="",'planning '!$J90=""),0,IF('planning '!$J90&gt;'planning '!$H90,MEDIAN('planning '!$J90,J$2,J$1)-MEDIAN('planning '!$H90,J$2,J$1),+('planning '!$J90&lt;'planning '!$H90)*(J$2-J$1)+MEDIAN('planning '!$J90,J$1,J$2)-MEDIAN('planning '!$H90,J$1,J$2)))</f>
        <v>0</v>
      </c>
      <c r="K89" s="237"/>
      <c r="M89" s="17"/>
      <c r="N89" s="17"/>
      <c r="O89" s="17"/>
      <c r="P89" s="17"/>
      <c r="Q89" s="17"/>
    </row>
    <row r="90" spans="2:17" ht="15.75" thickBot="1" x14ac:dyDescent="0.3">
      <c r="B90" s="231" t="str">
        <f>'planning '!F91</f>
        <v>off</v>
      </c>
      <c r="C90" s="232">
        <f t="shared" si="17"/>
        <v>43892</v>
      </c>
      <c r="D90" s="233">
        <f>IF(OR('planning '!$H91="",'planning '!$J91=""),0,IF('planning '!$J91&gt;'planning '!$H91,MEDIAN('planning '!$J91,D$2,D$1)-MEDIAN('planning '!$H91,D$2,D$1),+('planning '!$J91&lt;'planning '!$H91)*(D$2-D$1)+MEDIAN('planning '!$J91,D$1,D$2)-MEDIAN('planning '!$H91,D$1,D$2)))-'planning '!V91</f>
        <v>0</v>
      </c>
      <c r="E90" s="241"/>
      <c r="F90" s="235">
        <f>IF(OR('planning '!$H91="",'planning '!$J91=""),0,IF('planning '!$J91&gt;'planning '!$H91,MEDIAN('planning '!$J91,F$2,F$1)-MEDIAN('planning '!$H91,F$2,F$1),+('planning '!$J91&lt;'planning '!$H91)*(F$2-F$1)+MEDIAN('planning '!$J91,F$1,F$2)-MEDIAN('planning '!$H91,F$1,F$2)))-'planning '!AA91</f>
        <v>0</v>
      </c>
      <c r="G90" s="238"/>
      <c r="H90" s="235">
        <f>IF(OR('planning '!$H91="",'planning '!$J91=""),0,IF('planning '!$J91&gt;'planning '!$H91,MEDIAN('planning '!$J91,H$2,H$1)-MEDIAN('planning '!$H91,H$2,H$1),+('planning '!$J91&lt;'planning '!$H91)*(H$2-H$1)+MEDIAN('planning '!$J91,H$1,H$2)-MEDIAN('planning '!$H91,H$1,H$2)))</f>
        <v>0</v>
      </c>
      <c r="I90" s="238"/>
      <c r="J90" s="234">
        <f>IF(OR('planning '!$H91="",'planning '!$J91=""),0,IF('planning '!$J91&gt;'planning '!$H91,MEDIAN('planning '!$J91,J$2,J$1)-MEDIAN('planning '!$H91,J$2,J$1),+('planning '!$J91&lt;'planning '!$H91)*(J$2-J$1)+MEDIAN('planning '!$J91,J$1,J$2)-MEDIAN('planning '!$H91,J$1,J$2)))</f>
        <v>0</v>
      </c>
      <c r="K90" s="238"/>
      <c r="M90" s="17"/>
      <c r="N90" s="17"/>
      <c r="O90" s="17"/>
      <c r="P90" s="17"/>
      <c r="Q90" s="17"/>
    </row>
    <row r="91" spans="2:17" x14ac:dyDescent="0.25">
      <c r="M91" s="17"/>
      <c r="N91" s="17"/>
      <c r="O91" s="17"/>
      <c r="P91" s="17"/>
      <c r="Q91" s="17"/>
    </row>
    <row r="92" spans="2:17" x14ac:dyDescent="0.25">
      <c r="M92" s="17"/>
      <c r="N92" s="17"/>
      <c r="O92" s="17"/>
      <c r="P92" s="17"/>
      <c r="Q92" s="17"/>
    </row>
    <row r="93" spans="2:17" ht="15.75" thickBot="1" x14ac:dyDescent="0.3">
      <c r="M93" s="17"/>
      <c r="N93" s="17"/>
      <c r="O93" s="17"/>
      <c r="P93" s="17"/>
      <c r="Q93" s="17"/>
    </row>
    <row r="94" spans="2:17" x14ac:dyDescent="0.25">
      <c r="B94" s="231" t="str">
        <f>'planning '!F95</f>
        <v>travail</v>
      </c>
      <c r="C94" s="232">
        <f>'planning '!E95</f>
        <v>43893</v>
      </c>
      <c r="D94" s="233"/>
      <c r="E94" s="239"/>
      <c r="F94" s="235">
        <f>IF(OR('planning '!$H95="",'planning '!$J95=""),0,IF('planning '!$J95&gt;'planning '!$H95,MEDIAN('planning '!$J95,F$2,F$1)-MEDIAN('planning '!$H95,F$2,F$1),+('planning '!$J95&lt;'planning '!$H95)*(F$2-F$1)+MEDIAN('planning '!$J95,F$1,F$2)-MEDIAN('planning '!$H95,F$1,F$2)))-'planning '!AA95</f>
        <v>0</v>
      </c>
      <c r="G94" s="236"/>
      <c r="H94" s="235">
        <f>IF(OR('planning '!$H95="",'planning '!$J95=""),0,IF('planning '!$J95&gt;'planning '!$H95,MEDIAN('planning '!$J95,H$2,H$1)-MEDIAN('planning '!$H95,H$2,H$1),+('planning '!$J95&lt;'planning '!$H95)*(H$2-H$1)+MEDIAN('planning '!$J95,H$1,H$2)-MEDIAN('planning '!$H95,H$1,H$2)))</f>
        <v>0</v>
      </c>
      <c r="I94" s="236"/>
      <c r="J94" s="234">
        <f>IF(OR('planning '!$H95="",'planning '!$J95=""),0,IF('planning '!$J95&gt;'planning '!$H95,MEDIAN('planning '!$J95,J$2,J$1)-MEDIAN('planning '!$H95,J$2,J$1),+('planning '!$J95&lt;'planning '!$H95)*(J$2-J$1)+MEDIAN('planning '!$J95,J$1,J$2)-MEDIAN('planning '!$H95,J$1,J$2)))</f>
        <v>0.30138888888888887</v>
      </c>
      <c r="K94" s="236"/>
      <c r="M94" s="17"/>
      <c r="N94" s="264"/>
      <c r="O94" s="265" t="s">
        <v>114</v>
      </c>
      <c r="P94" s="266"/>
      <c r="Q94" s="17"/>
    </row>
    <row r="95" spans="2:17" x14ac:dyDescent="0.25">
      <c r="B95" s="231" t="str">
        <f>'planning '!F96</f>
        <v>travail</v>
      </c>
      <c r="C95" s="232">
        <f>C94+1</f>
        <v>43894</v>
      </c>
      <c r="D95" s="233"/>
      <c r="E95" s="240"/>
      <c r="F95" s="235">
        <f>IF(OR('planning '!$H96="",'planning '!$J96=""),0,IF('planning '!$J96&gt;'planning '!$H96,MEDIAN('planning '!$J96,F$2,F$1)-MEDIAN('planning '!$H96,F$2,F$1),+('planning '!$J96&lt;'planning '!$H96)*(F$2-F$1)+MEDIAN('planning '!$J96,F$1,F$2)-MEDIAN('planning '!$H96,F$1,F$2)))-'planning '!AA96</f>
        <v>0.13263888888888886</v>
      </c>
      <c r="G95" s="237" t="s">
        <v>21</v>
      </c>
      <c r="H95" s="235">
        <f>IF(OR('planning '!$H96="",'planning '!$J96=""),0,IF('planning '!$J96&gt;'planning '!$H96,MEDIAN('planning '!$J96,H$2,H$1)-MEDIAN('planning '!$H96,H$2,H$1),+('planning '!$J96&lt;'planning '!$H96)*(H$2-H$1)+MEDIAN('planning '!$J96,H$1,H$2)-MEDIAN('planning '!$H96,H$1,H$2)))</f>
        <v>0</v>
      </c>
      <c r="I95" s="237"/>
      <c r="J95" s="234">
        <f>IF(OR('planning '!$H96="",'planning '!$J96=""),0,IF('planning '!$J96&gt;'planning '!$H96,MEDIAN('planning '!$J96,J$2,J$1)-MEDIAN('planning '!$H96,J$2,J$1),+('planning '!$J96&lt;'planning '!$H96)*(J$2-J$1)+MEDIAN('planning '!$J96,J$1,J$2)-MEDIAN('planning '!$H96,J$1,J$2)))</f>
        <v>0.52847222222222223</v>
      </c>
      <c r="K95" s="237"/>
      <c r="M95" s="17"/>
      <c r="N95" s="263" t="s">
        <v>117</v>
      </c>
      <c r="O95" s="263" t="s">
        <v>115</v>
      </c>
      <c r="P95" s="263" t="s">
        <v>116</v>
      </c>
      <c r="Q95" s="243" t="s">
        <v>118</v>
      </c>
    </row>
    <row r="96" spans="2:17" x14ac:dyDescent="0.25">
      <c r="B96" s="231" t="str">
        <f>'planning '!F97</f>
        <v>travail</v>
      </c>
      <c r="C96" s="232">
        <f>C95+1</f>
        <v>43895</v>
      </c>
      <c r="D96" s="233"/>
      <c r="E96" s="240"/>
      <c r="F96" s="235">
        <f>IF(OR('planning '!$H97="",'planning '!$J97=""),0,IF('planning '!$J97&gt;'planning '!$H97,MEDIAN('planning '!$J97,F$2,F$1)-MEDIAN('planning '!$H97,F$2,F$1),+('planning '!$J97&lt;'planning '!$H97)*(F$2-F$1)+MEDIAN('planning '!$J97,F$1,F$2)-MEDIAN('planning '!$H97,F$1,F$2)))-'planning '!AA97</f>
        <v>0</v>
      </c>
      <c r="G96" s="237"/>
      <c r="H96" s="235">
        <f>IF(OR('planning '!$H97="",'planning '!$J97=""),0,IF('planning '!$J97&gt;'planning '!$H97,MEDIAN('planning '!$J97,H$2,H$1)-MEDIAN('planning '!$H97,H$2,H$1),+('planning '!$J97&lt;'planning '!$H97)*(H$2-H$1)+MEDIAN('planning '!$J97,H$1,H$2)-MEDIAN('planning '!$H97,H$1,H$2)))</f>
        <v>0</v>
      </c>
      <c r="I96" s="237"/>
      <c r="J96" s="234">
        <f>IF(OR('planning '!$H97="",'planning '!$J97=""),0,IF('planning '!$J97&gt;'planning '!$H97,MEDIAN('planning '!$J97,J$2,J$1)-MEDIAN('planning '!$H97,J$2,J$1),+('planning '!$J97&lt;'planning '!$H97)*(J$2-J$1)+MEDIAN('planning '!$J97,J$1,J$2)-MEDIAN('planning '!$H97,J$1,J$2)))</f>
        <v>0.28402777777777777</v>
      </c>
      <c r="K96" s="237"/>
      <c r="M96" s="231" t="s">
        <v>111</v>
      </c>
      <c r="N96" s="261">
        <f t="shared" ref="N96:Q97" ca="1" si="18">SUMIF(OFFSET($C94:$C101,0,MATCH(N$10,$B$5:$H$5,0)-1,7,1),$K97,OFFSET($B94:$B100,0,MATCH(N$10,$B$5:$H$5,0)-1,7,1))</f>
        <v>0</v>
      </c>
      <c r="O96" s="261">
        <f t="shared" ca="1" si="18"/>
        <v>0</v>
      </c>
      <c r="P96" s="261">
        <f t="shared" ca="1" si="18"/>
        <v>0</v>
      </c>
      <c r="Q96" s="261">
        <f t="shared" ca="1" si="18"/>
        <v>0</v>
      </c>
    </row>
    <row r="97" spans="2:17" x14ac:dyDescent="0.25">
      <c r="B97" s="231" t="str">
        <f>'planning '!F98</f>
        <v>travail</v>
      </c>
      <c r="C97" s="232">
        <f t="shared" ref="C97:C100" si="19">C96+1</f>
        <v>43896</v>
      </c>
      <c r="D97" s="233"/>
      <c r="E97" s="240"/>
      <c r="F97" s="235">
        <f>IF(OR('planning '!$H98="",'planning '!$J98=""),0,IF('planning '!$J98&gt;'planning '!$H98,MEDIAN('planning '!$J98,F$2,F$1)-MEDIAN('planning '!$H98,F$2,F$1),+('planning '!$J98&lt;'planning '!$H98)*(F$2-F$1)+MEDIAN('planning '!$J98,F$1,F$2)-MEDIAN('planning '!$H98,F$1,F$2)))-'planning '!AA98</f>
        <v>0</v>
      </c>
      <c r="G97" s="237"/>
      <c r="H97" s="235">
        <f>IF(OR('planning '!$H98="",'planning '!$J98=""),0,IF('planning '!$J98&gt;'planning '!$H98,MEDIAN('planning '!$J98,H$2,H$1)-MEDIAN('planning '!$H98,H$2,H$1),+('planning '!$J98&lt;'planning '!$H98)*(H$2-H$1)+MEDIAN('planning '!$J98,H$1,H$2)-MEDIAN('planning '!$H98,H$1,H$2)))</f>
        <v>0</v>
      </c>
      <c r="I97" s="237"/>
      <c r="J97" s="234">
        <f>IF(OR('planning '!$H98="",'planning '!$J98=""),0,IF('planning '!$J98&gt;'planning '!$H98,MEDIAN('planning '!$J98,J$2,J$1)-MEDIAN('planning '!$H98,J$2,J$1),+('planning '!$J98&lt;'planning '!$H98)*(J$2-J$1)+MEDIAN('planning '!$J98,J$1,J$2)-MEDIAN('planning '!$H98,J$1,J$2)))</f>
        <v>0.38333333333333336</v>
      </c>
      <c r="K97" s="237"/>
      <c r="M97" s="231" t="s">
        <v>21</v>
      </c>
      <c r="N97" s="261">
        <f t="shared" ca="1" si="18"/>
        <v>0</v>
      </c>
      <c r="O97" s="261">
        <f t="shared" ca="1" si="18"/>
        <v>0</v>
      </c>
      <c r="P97" s="261">
        <f t="shared" ca="1" si="18"/>
        <v>0</v>
      </c>
      <c r="Q97" s="261">
        <f t="shared" ca="1" si="18"/>
        <v>0</v>
      </c>
    </row>
    <row r="98" spans="2:17" x14ac:dyDescent="0.25">
      <c r="B98" s="231" t="str">
        <f>'planning '!F99</f>
        <v>travail</v>
      </c>
      <c r="C98" s="232">
        <f t="shared" si="19"/>
        <v>43897</v>
      </c>
      <c r="D98" s="233"/>
      <c r="E98" s="240"/>
      <c r="F98" s="235">
        <f>IF(OR('planning '!$H99="",'planning '!$J99=""),0,IF('planning '!$J99&gt;'planning '!$H99,MEDIAN('planning '!$J99,F$2,F$1)-MEDIAN('planning '!$H99,F$2,F$1),+('planning '!$J99&lt;'planning '!$H99)*(F$2-F$1)+MEDIAN('planning '!$J99,F$1,F$2)-MEDIAN('planning '!$H99,F$1,F$2)))-'planning '!AA99</f>
        <v>0.11041666666666661</v>
      </c>
      <c r="G98" s="237" t="s">
        <v>21</v>
      </c>
      <c r="H98" s="235">
        <f>IF(OR('planning '!$H99="",'planning '!$J99=""),0,IF('planning '!$J99&gt;'planning '!$H99,MEDIAN('planning '!$J99,H$2,H$1)-MEDIAN('planning '!$H99,H$2,H$1),+('planning '!$J99&lt;'planning '!$H99)*(H$2-H$1)+MEDIAN('planning '!$J99,H$1,H$2)-MEDIAN('planning '!$H99,H$1,H$2)))</f>
        <v>0</v>
      </c>
      <c r="I98" s="237"/>
      <c r="J98" s="234">
        <f>IF(OR('planning '!$H99="",'planning '!$J99=""),0,IF('planning '!$J99&gt;'planning '!$H99,MEDIAN('planning '!$J99,J$2,J$1)-MEDIAN('planning '!$H99,J$2,J$1),+('planning '!$J99&lt;'planning '!$H99)*(J$2-J$1)+MEDIAN('planning '!$J99,J$1,J$2)-MEDIAN('planning '!$H99,J$1,J$2)))</f>
        <v>0.42986111111111108</v>
      </c>
      <c r="K98" s="237"/>
      <c r="M98" s="17"/>
      <c r="N98" s="17"/>
      <c r="O98" s="17"/>
      <c r="P98" s="17"/>
      <c r="Q98" s="17"/>
    </row>
    <row r="99" spans="2:17" x14ac:dyDescent="0.25">
      <c r="B99" s="231" t="str">
        <f>'planning '!F100</f>
        <v>off</v>
      </c>
      <c r="C99" s="232">
        <f t="shared" si="19"/>
        <v>43898</v>
      </c>
      <c r="D99" s="233">
        <f>IF(OR('planning '!$H100="",'planning '!$J100=""),0,IF('planning '!$J100&gt;'planning '!$H100,MEDIAN('planning '!$J100,D$2,D$1)-MEDIAN('planning '!$H100,D$2,D$1),+('planning '!$J100&lt;'planning '!$H100)*(D$2-D$1)+MEDIAN('planning '!$J100,D$1,D$2)-MEDIAN('planning '!$H100,D$1,D$2)))-'planning '!V100</f>
        <v>0</v>
      </c>
      <c r="E99" s="240"/>
      <c r="F99" s="235">
        <f>IF(OR('planning '!$H100="",'planning '!$J100=""),0,IF('planning '!$J100&gt;'planning '!$H100,MEDIAN('planning '!$J100,F$2,F$1)-MEDIAN('planning '!$H100,F$2,F$1),+('planning '!$J100&lt;'planning '!$H100)*(F$2-F$1)+MEDIAN('planning '!$J100,F$1,F$2)-MEDIAN('planning '!$H100,F$1,F$2)))-'planning '!AA100</f>
        <v>0</v>
      </c>
      <c r="G99" s="237"/>
      <c r="H99" s="235">
        <f>IF(OR('planning '!$H100="",'planning '!$J100=""),0,IF('planning '!$J100&gt;'planning '!$H100,MEDIAN('planning '!$J100,H$2,H$1)-MEDIAN('planning '!$H100,H$2,H$1),+('planning '!$J100&lt;'planning '!$H100)*(H$2-H$1)+MEDIAN('planning '!$J100,H$1,H$2)-MEDIAN('planning '!$H100,H$1,H$2)))</f>
        <v>0</v>
      </c>
      <c r="I99" s="237"/>
      <c r="J99" s="234">
        <f>IF(OR('planning '!$H100="",'planning '!$J100=""),0,IF('planning '!$J100&gt;'planning '!$H100,MEDIAN('planning '!$J100,J$2,J$1)-MEDIAN('planning '!$H100,J$2,J$1),+('planning '!$J100&lt;'planning '!$H100)*(J$2-J$1)+MEDIAN('planning '!$J100,J$1,J$2)-MEDIAN('planning '!$H100,J$1,J$2)))</f>
        <v>0</v>
      </c>
      <c r="K99" s="237"/>
      <c r="M99" s="17"/>
      <c r="N99" s="17"/>
      <c r="O99" s="17"/>
      <c r="P99" s="17"/>
      <c r="Q99" s="17"/>
    </row>
    <row r="100" spans="2:17" ht="15.75" thickBot="1" x14ac:dyDescent="0.3">
      <c r="B100" s="231" t="str">
        <f>'planning '!F101</f>
        <v>off</v>
      </c>
      <c r="C100" s="232">
        <f t="shared" si="19"/>
        <v>43899</v>
      </c>
      <c r="D100" s="233">
        <f>IF(OR('planning '!$H101="",'planning '!$J101=""),0,IF('planning '!$J101&gt;'planning '!$H101,MEDIAN('planning '!$J101,D$2,D$1)-MEDIAN('planning '!$H101,D$2,D$1),+('planning '!$J101&lt;'planning '!$H101)*(D$2-D$1)+MEDIAN('planning '!$J101,D$1,D$2)-MEDIAN('planning '!$H101,D$1,D$2)))-'planning '!V101</f>
        <v>0</v>
      </c>
      <c r="E100" s="241"/>
      <c r="F100" s="235">
        <f>IF(OR('planning '!$H101="",'planning '!$J101=""),0,IF('planning '!$J101&gt;'planning '!$H101,MEDIAN('planning '!$J101,F$2,F$1)-MEDIAN('planning '!$H101,F$2,F$1),+('planning '!$J101&lt;'planning '!$H101)*(F$2-F$1)+MEDIAN('planning '!$J101,F$1,F$2)-MEDIAN('planning '!$H101,F$1,F$2)))-'planning '!AA101</f>
        <v>0</v>
      </c>
      <c r="G100" s="238"/>
      <c r="H100" s="235">
        <f>IF(OR('planning '!$H101="",'planning '!$J101=""),0,IF('planning '!$J101&gt;'planning '!$H101,MEDIAN('planning '!$J101,H$2,H$1)-MEDIAN('planning '!$H101,H$2,H$1),+('planning '!$J101&lt;'planning '!$H101)*(H$2-H$1)+MEDIAN('planning '!$J101,H$1,H$2)-MEDIAN('planning '!$H101,H$1,H$2)))</f>
        <v>0</v>
      </c>
      <c r="I100" s="238"/>
      <c r="J100" s="234">
        <f>IF(OR('planning '!$H101="",'planning '!$J101=""),0,IF('planning '!$J101&gt;'planning '!$H101,MEDIAN('planning '!$J101,J$2,J$1)-MEDIAN('planning '!$H101,J$2,J$1),+('planning '!$J101&lt;'planning '!$H101)*(J$2-J$1)+MEDIAN('planning '!$J101,J$1,J$2)-MEDIAN('planning '!$H101,J$1,J$2)))</f>
        <v>0</v>
      </c>
      <c r="K100" s="238"/>
      <c r="M100" s="17"/>
      <c r="N100" s="17"/>
      <c r="O100" s="17"/>
      <c r="P100" s="17"/>
      <c r="Q100" s="17"/>
    </row>
    <row r="101" spans="2:17" x14ac:dyDescent="0.25">
      <c r="M101" s="17"/>
      <c r="N101" s="17"/>
      <c r="O101" s="17"/>
      <c r="P101" s="17"/>
      <c r="Q101" s="17"/>
    </row>
    <row r="102" spans="2:17" x14ac:dyDescent="0.25">
      <c r="M102" s="17"/>
      <c r="N102" s="17"/>
      <c r="O102" s="17"/>
      <c r="P102" s="17"/>
      <c r="Q102" s="17"/>
    </row>
    <row r="103" spans="2:17" ht="15.75" thickBot="1" x14ac:dyDescent="0.3">
      <c r="M103" s="17"/>
      <c r="N103" s="17"/>
      <c r="O103" s="17"/>
      <c r="P103" s="17"/>
      <c r="Q103" s="17"/>
    </row>
    <row r="104" spans="2:17" x14ac:dyDescent="0.25">
      <c r="B104" s="231" t="str">
        <f>'planning '!F105</f>
        <v>travail</v>
      </c>
      <c r="C104" s="232">
        <f>'planning '!E105</f>
        <v>43900</v>
      </c>
      <c r="D104" s="233"/>
      <c r="E104" s="239"/>
      <c r="F104" s="235">
        <f>IF(OR('planning '!$H105="",'planning '!$J105=""),0,IF('planning '!$J105&gt;'planning '!$H105,MEDIAN('planning '!$J105,F$2,F$1)-MEDIAN('planning '!$H105,F$2,F$1),+('planning '!$J105&lt;'planning '!$H105)*(F$2-F$1)+MEDIAN('planning '!$J105,F$1,F$2)-MEDIAN('planning '!$H105,F$1,F$2)))-'planning '!AA105</f>
        <v>2.777777777777779E-2</v>
      </c>
      <c r="G104" s="236" t="s">
        <v>21</v>
      </c>
      <c r="H104" s="235">
        <f>IF(OR('planning '!$H105="",'planning '!$J105=""),0,IF('planning '!$J105&gt;'planning '!$H105,MEDIAN('planning '!$J105,H$2,H$1)-MEDIAN('planning '!$H105,H$2,H$1),+('planning '!$J105&lt;'planning '!$H105)*(H$2-H$1)+MEDIAN('planning '!$J105,H$1,H$2)-MEDIAN('planning '!$H105,H$1,H$2)))</f>
        <v>0</v>
      </c>
      <c r="I104" s="236"/>
      <c r="J104" s="234">
        <f>IF(OR('planning '!$H105="",'planning '!$J105=""),0,IF('planning '!$J105&gt;'planning '!$H105,MEDIAN('planning '!$J105,J$2,J$1)-MEDIAN('planning '!$H105,J$2,J$1),+('planning '!$J105&lt;'planning '!$H105)*(J$2-J$1)+MEDIAN('planning '!$J105,J$1,J$2)-MEDIAN('planning '!$H105,J$1,J$2)))</f>
        <v>0.41944444444444451</v>
      </c>
      <c r="K104" s="236"/>
      <c r="M104" s="17"/>
      <c r="N104" s="264"/>
      <c r="O104" s="265" t="s">
        <v>114</v>
      </c>
      <c r="P104" s="266"/>
      <c r="Q104" s="17"/>
    </row>
    <row r="105" spans="2:17" x14ac:dyDescent="0.25">
      <c r="B105" s="231" t="str">
        <f>'planning '!F106</f>
        <v>travail</v>
      </c>
      <c r="C105" s="232">
        <f>C104+1</f>
        <v>43901</v>
      </c>
      <c r="D105" s="233"/>
      <c r="E105" s="240"/>
      <c r="F105" s="235">
        <f>IF(OR('planning '!$H106="",'planning '!$J106=""),0,IF('planning '!$J106&gt;'planning '!$H106,MEDIAN('planning '!$J106,F$2,F$1)-MEDIAN('planning '!$H106,F$2,F$1),+('planning '!$J106&lt;'planning '!$H106)*(F$2-F$1)+MEDIAN('planning '!$J106,F$1,F$2)-MEDIAN('planning '!$H106,F$1,F$2)))-'planning '!AA106</f>
        <v>0</v>
      </c>
      <c r="G105" s="237"/>
      <c r="H105" s="235">
        <f>IF(OR('planning '!$H106="",'planning '!$J106=""),0,IF('planning '!$J106&gt;'planning '!$H106,MEDIAN('planning '!$J106,H$2,H$1)-MEDIAN('planning '!$H106,H$2,H$1),+('planning '!$J106&lt;'planning '!$H106)*(H$2-H$1)+MEDIAN('planning '!$J106,H$1,H$2)-MEDIAN('planning '!$H106,H$1,H$2)))</f>
        <v>0</v>
      </c>
      <c r="I105" s="237"/>
      <c r="J105" s="234">
        <f>IF(OR('planning '!$H106="",'planning '!$J106=""),0,IF('planning '!$J106&gt;'planning '!$H106,MEDIAN('planning '!$J106,J$2,J$1)-MEDIAN('planning '!$H106,J$2,J$1),+('planning '!$J106&lt;'planning '!$H106)*(J$2-J$1)+MEDIAN('planning '!$J106,J$1,J$2)-MEDIAN('planning '!$H106,J$1,J$2)))</f>
        <v>0.3847222222222223</v>
      </c>
      <c r="K105" s="237"/>
      <c r="M105" s="17"/>
      <c r="N105" s="263" t="s">
        <v>117</v>
      </c>
      <c r="O105" s="263" t="s">
        <v>115</v>
      </c>
      <c r="P105" s="263" t="s">
        <v>116</v>
      </c>
      <c r="Q105" s="243" t="s">
        <v>118</v>
      </c>
    </row>
    <row r="106" spans="2:17" x14ac:dyDescent="0.25">
      <c r="B106" s="231" t="str">
        <f>'planning '!F107</f>
        <v>travail</v>
      </c>
      <c r="C106" s="232">
        <f>C105+1</f>
        <v>43902</v>
      </c>
      <c r="D106" s="233"/>
      <c r="E106" s="240"/>
      <c r="F106" s="235">
        <f>IF(OR('planning '!$H107="",'planning '!$J107=""),0,IF('planning '!$J107&gt;'planning '!$H107,MEDIAN('planning '!$J107,F$2,F$1)-MEDIAN('planning '!$H107,F$2,F$1),+('planning '!$J107&lt;'planning '!$H107)*(F$2-F$1)+MEDIAN('planning '!$J107,F$1,F$2)-MEDIAN('planning '!$H107,F$1,F$2)))-'planning '!AA107</f>
        <v>0.14583333333333326</v>
      </c>
      <c r="G106" s="237" t="s">
        <v>21</v>
      </c>
      <c r="H106" s="235">
        <f>IF(OR('planning '!$H107="",'planning '!$J107=""),0,IF('planning '!$J107&gt;'planning '!$H107,MEDIAN('planning '!$J107,H$2,H$1)-MEDIAN('planning '!$H107,H$2,H$1),+('planning '!$J107&lt;'planning '!$H107)*(H$2-H$1)+MEDIAN('planning '!$J107,H$1,H$2)-MEDIAN('planning '!$H107,H$1,H$2)))</f>
        <v>7.6388888888889728E-3</v>
      </c>
      <c r="I106" s="237" t="s">
        <v>111</v>
      </c>
      <c r="J106" s="234">
        <f>IF(OR('planning '!$H107="",'planning '!$J107=""),0,IF('planning '!$J107&gt;'planning '!$H107,MEDIAN('planning '!$J107,J$2,J$1)-MEDIAN('planning '!$H107,J$2,J$1),+('planning '!$J107&lt;'planning '!$H107)*(J$2-J$1)+MEDIAN('planning '!$J107,J$1,J$2)-MEDIAN('planning '!$H107,J$1,J$2)))</f>
        <v>0.51319444444444451</v>
      </c>
      <c r="K106" s="237"/>
      <c r="M106" s="231" t="s">
        <v>111</v>
      </c>
      <c r="N106" s="261">
        <f t="shared" ref="N106:Q107" ca="1" si="20">SUMIF(OFFSET($C104:$C111,0,MATCH(N$10,$B$5:$H$5,0)-1,7,1),$K107,OFFSET($B104:$B110,0,MATCH(N$10,$B$5:$H$5,0)-1,7,1))</f>
        <v>0</v>
      </c>
      <c r="O106" s="261">
        <f t="shared" ca="1" si="20"/>
        <v>0</v>
      </c>
      <c r="P106" s="261">
        <f t="shared" ca="1" si="20"/>
        <v>0</v>
      </c>
      <c r="Q106" s="261">
        <f t="shared" ca="1" si="20"/>
        <v>0</v>
      </c>
    </row>
    <row r="107" spans="2:17" x14ac:dyDescent="0.25">
      <c r="B107" s="231" t="str">
        <f>'planning '!F108</f>
        <v>travail</v>
      </c>
      <c r="C107" s="232">
        <f t="shared" ref="C107:C110" si="21">C106+1</f>
        <v>43903</v>
      </c>
      <c r="D107" s="233"/>
      <c r="E107" s="240"/>
      <c r="F107" s="235">
        <f>IF(OR('planning '!$H108="",'planning '!$J108=""),0,IF('planning '!$J108&gt;'planning '!$H108,MEDIAN('planning '!$J108,F$2,F$1)-MEDIAN('planning '!$H108,F$2,F$1),+('planning '!$J108&lt;'planning '!$H108)*(F$2-F$1)+MEDIAN('planning '!$J108,F$1,F$2)-MEDIAN('planning '!$H108,F$1,F$2)))-'planning '!AA108</f>
        <v>6.3888888888888884E-2</v>
      </c>
      <c r="G107" s="237" t="s">
        <v>21</v>
      </c>
      <c r="H107" s="235">
        <f>IF(OR('planning '!$H108="",'planning '!$J108=""),0,IF('planning '!$J108&gt;'planning '!$H108,MEDIAN('planning '!$J108,H$2,H$1)-MEDIAN('planning '!$H108,H$2,H$1),+('planning '!$J108&lt;'planning '!$H108)*(H$2-H$1)+MEDIAN('planning '!$J108,H$1,H$2)-MEDIAN('planning '!$H108,H$1,H$2)))</f>
        <v>0</v>
      </c>
      <c r="I107" s="237"/>
      <c r="J107" s="234">
        <f>IF(OR('planning '!$H108="",'planning '!$J108=""),0,IF('planning '!$J108&gt;'planning '!$H108,MEDIAN('planning '!$J108,J$2,J$1)-MEDIAN('planning '!$H108,J$2,J$1),+('planning '!$J108&lt;'planning '!$H108)*(J$2-J$1)+MEDIAN('planning '!$J108,J$1,J$2)-MEDIAN('planning '!$H108,J$1,J$2)))</f>
        <v>0.41805555555555557</v>
      </c>
      <c r="K107" s="237"/>
      <c r="M107" s="231" t="s">
        <v>21</v>
      </c>
      <c r="N107" s="261">
        <f t="shared" ca="1" si="20"/>
        <v>0</v>
      </c>
      <c r="O107" s="261">
        <f t="shared" ca="1" si="20"/>
        <v>0</v>
      </c>
      <c r="P107" s="261">
        <f t="shared" ca="1" si="20"/>
        <v>0</v>
      </c>
      <c r="Q107" s="261">
        <f t="shared" ca="1" si="20"/>
        <v>0</v>
      </c>
    </row>
    <row r="108" spans="2:17" x14ac:dyDescent="0.25">
      <c r="B108" s="231" t="str">
        <f>'planning '!F109</f>
        <v>travail</v>
      </c>
      <c r="C108" s="232">
        <f t="shared" si="21"/>
        <v>43904</v>
      </c>
      <c r="D108" s="233"/>
      <c r="E108" s="240"/>
      <c r="F108" s="235">
        <f>IF(OR('planning '!$H109="",'planning '!$J109=""),0,IF('planning '!$J109&gt;'planning '!$H109,MEDIAN('planning '!$J109,F$2,F$1)-MEDIAN('planning '!$H109,F$2,F$1),+('planning '!$J109&lt;'planning '!$H109)*(F$2-F$1)+MEDIAN('planning '!$J109,F$1,F$2)-MEDIAN('planning '!$H109,F$1,F$2)))-'planning '!AA109</f>
        <v>0</v>
      </c>
      <c r="G108" s="237"/>
      <c r="H108" s="235">
        <f>IF(OR('planning '!$H109="",'planning '!$J109=""),0,IF('planning '!$J109&gt;'planning '!$H109,MEDIAN('planning '!$J109,H$2,H$1)-MEDIAN('planning '!$H109,H$2,H$1),+('planning '!$J109&lt;'planning '!$H109)*(H$2-H$1)+MEDIAN('planning '!$J109,H$1,H$2)-MEDIAN('planning '!$H109,H$1,H$2)))</f>
        <v>0</v>
      </c>
      <c r="I108" s="237"/>
      <c r="J108" s="234">
        <f>IF(OR('planning '!$H109="",'planning '!$J109=""),0,IF('planning '!$J109&gt;'planning '!$H109,MEDIAN('planning '!$J109,J$2,J$1)-MEDIAN('planning '!$H109,J$2,J$1),+('planning '!$J109&lt;'planning '!$H109)*(J$2-J$1)+MEDIAN('planning '!$J109,J$1,J$2)-MEDIAN('planning '!$H109,J$1,J$2)))</f>
        <v>0.37222222222222223</v>
      </c>
      <c r="K108" s="237"/>
      <c r="M108" s="17"/>
      <c r="N108" s="17"/>
      <c r="O108" s="17"/>
      <c r="P108" s="17"/>
      <c r="Q108" s="17"/>
    </row>
    <row r="109" spans="2:17" x14ac:dyDescent="0.25">
      <c r="B109" s="231" t="str">
        <f>'planning '!F110</f>
        <v>off</v>
      </c>
      <c r="C109" s="232">
        <f t="shared" si="21"/>
        <v>43905</v>
      </c>
      <c r="D109" s="233">
        <f>IF(OR('planning '!$H110="",'planning '!$J110=""),0,IF('planning '!$J110&gt;'planning '!$H110,MEDIAN('planning '!$J110,D$2,D$1)-MEDIAN('planning '!$H110,D$2,D$1),+('planning '!$J110&lt;'planning '!$H110)*(D$2-D$1)+MEDIAN('planning '!$J110,D$1,D$2)-MEDIAN('planning '!$H110,D$1,D$2)))-'planning '!V110</f>
        <v>0</v>
      </c>
      <c r="E109" s="240"/>
      <c r="F109" s="235">
        <f>IF(OR('planning '!$H110="",'planning '!$J110=""),0,IF('planning '!$J110&gt;'planning '!$H110,MEDIAN('planning '!$J110,F$2,F$1)-MEDIAN('planning '!$H110,F$2,F$1),+('planning '!$J110&lt;'planning '!$H110)*(F$2-F$1)+MEDIAN('planning '!$J110,F$1,F$2)-MEDIAN('planning '!$H110,F$1,F$2)))-'planning '!AA110</f>
        <v>0</v>
      </c>
      <c r="G109" s="237"/>
      <c r="H109" s="235">
        <f>IF(OR('planning '!$H110="",'planning '!$J110=""),0,IF('planning '!$J110&gt;'planning '!$H110,MEDIAN('planning '!$J110,H$2,H$1)-MEDIAN('planning '!$H110,H$2,H$1),+('planning '!$J110&lt;'planning '!$H110)*(H$2-H$1)+MEDIAN('planning '!$J110,H$1,H$2)-MEDIAN('planning '!$H110,H$1,H$2)))</f>
        <v>0</v>
      </c>
      <c r="I109" s="237"/>
      <c r="J109" s="234">
        <f>IF(OR('planning '!$H110="",'planning '!$J110=""),0,IF('planning '!$J110&gt;'planning '!$H110,MEDIAN('planning '!$J110,J$2,J$1)-MEDIAN('planning '!$H110,J$2,J$1),+('planning '!$J110&lt;'planning '!$H110)*(J$2-J$1)+MEDIAN('planning '!$J110,J$1,J$2)-MEDIAN('planning '!$H110,J$1,J$2)))</f>
        <v>0</v>
      </c>
      <c r="K109" s="237"/>
      <c r="M109" s="17"/>
      <c r="N109" s="17"/>
      <c r="O109" s="17"/>
      <c r="P109" s="17"/>
      <c r="Q109" s="17"/>
    </row>
    <row r="110" spans="2:17" ht="15.75" thickBot="1" x14ac:dyDescent="0.3">
      <c r="B110" s="231" t="str">
        <f>'planning '!F111</f>
        <v>off</v>
      </c>
      <c r="C110" s="232">
        <f t="shared" si="21"/>
        <v>43906</v>
      </c>
      <c r="D110" s="233">
        <f>IF(OR('planning '!$H111="",'planning '!$J111=""),0,IF('planning '!$J111&gt;'planning '!$H111,MEDIAN('planning '!$J111,D$2,D$1)-MEDIAN('planning '!$H111,D$2,D$1),+('planning '!$J111&lt;'planning '!$H111)*(D$2-D$1)+MEDIAN('planning '!$J111,D$1,D$2)-MEDIAN('planning '!$H111,D$1,D$2)))-'planning '!V111</f>
        <v>0</v>
      </c>
      <c r="E110" s="241"/>
      <c r="F110" s="235">
        <f>IF(OR('planning '!$H111="",'planning '!$J111=""),0,IF('planning '!$J111&gt;'planning '!$H111,MEDIAN('planning '!$J111,F$2,F$1)-MEDIAN('planning '!$H111,F$2,F$1),+('planning '!$J111&lt;'planning '!$H111)*(F$2-F$1)+MEDIAN('planning '!$J111,F$1,F$2)-MEDIAN('planning '!$H111,F$1,F$2)))-'planning '!AA111</f>
        <v>0</v>
      </c>
      <c r="G110" s="238"/>
      <c r="H110" s="235">
        <f>IF(OR('planning '!$H111="",'planning '!$J111=""),0,IF('planning '!$J111&gt;'planning '!$H111,MEDIAN('planning '!$J111,H$2,H$1)-MEDIAN('planning '!$H111,H$2,H$1),+('planning '!$J111&lt;'planning '!$H111)*(H$2-H$1)+MEDIAN('planning '!$J111,H$1,H$2)-MEDIAN('planning '!$H111,H$1,H$2)))</f>
        <v>0</v>
      </c>
      <c r="I110" s="238"/>
      <c r="J110" s="234">
        <f>IF(OR('planning '!$H111="",'planning '!$J111=""),0,IF('planning '!$J111&gt;'planning '!$H111,MEDIAN('planning '!$J111,J$2,J$1)-MEDIAN('planning '!$H111,J$2,J$1),+('planning '!$J111&lt;'planning '!$H111)*(J$2-J$1)+MEDIAN('planning '!$J111,J$1,J$2)-MEDIAN('planning '!$H111,J$1,J$2)))</f>
        <v>0</v>
      </c>
      <c r="K110" s="238"/>
      <c r="M110" s="17"/>
      <c r="N110" s="17"/>
      <c r="O110" s="17"/>
      <c r="P110" s="17"/>
      <c r="Q110" s="17"/>
    </row>
    <row r="111" spans="2:17" x14ac:dyDescent="0.25">
      <c r="M111" s="17"/>
      <c r="N111" s="17"/>
      <c r="O111" s="17"/>
      <c r="P111" s="17"/>
      <c r="Q111" s="17"/>
    </row>
    <row r="112" spans="2:17" x14ac:dyDescent="0.25">
      <c r="M112" s="17"/>
      <c r="N112" s="17"/>
      <c r="O112" s="17"/>
      <c r="P112" s="17"/>
      <c r="Q112" s="17"/>
    </row>
    <row r="113" spans="2:17" ht="15.75" thickBot="1" x14ac:dyDescent="0.3">
      <c r="M113" s="17"/>
      <c r="N113" s="17"/>
      <c r="O113" s="17"/>
      <c r="P113" s="17"/>
      <c r="Q113" s="17"/>
    </row>
    <row r="114" spans="2:17" x14ac:dyDescent="0.25">
      <c r="B114" s="231" t="str">
        <f>'planning '!F115</f>
        <v>travail</v>
      </c>
      <c r="C114" s="232">
        <f>'planning '!E115</f>
        <v>43907</v>
      </c>
      <c r="D114" s="233"/>
      <c r="E114" s="239"/>
      <c r="F114" s="235">
        <f>IF(OR('planning '!$H115="",'planning '!$J115=""),0,IF('planning '!$J115&gt;'planning '!$H115,MEDIAN('planning '!$J115,F$2,F$1)-MEDIAN('planning '!$H115,F$2,F$1),+('planning '!$J115&lt;'planning '!$H115)*(F$2-F$1)+MEDIAN('planning '!$J115,F$1,F$2)-MEDIAN('planning '!$H115,F$1,F$2)))-'planning '!AA115</f>
        <v>0</v>
      </c>
      <c r="G114" s="236"/>
      <c r="H114" s="235">
        <f>IF(OR('planning '!$H115="",'planning '!$J115=""),0,IF('planning '!$J115&gt;'planning '!$H115,MEDIAN('planning '!$J115,H$2,H$1)-MEDIAN('planning '!$H115,H$2,H$1),+('planning '!$J115&lt;'planning '!$H115)*(H$2-H$1)+MEDIAN('planning '!$J115,H$1,H$2)-MEDIAN('planning '!$H115,H$1,H$2)))</f>
        <v>0</v>
      </c>
      <c r="I114" s="236"/>
      <c r="J114" s="234">
        <f>IF(OR('planning '!$H115="",'planning '!$J115=""),0,IF('planning '!$J115&gt;'planning '!$H115,MEDIAN('planning '!$J115,J$2,J$1)-MEDIAN('planning '!$H115,J$2,J$1),+('planning '!$J115&lt;'planning '!$H115)*(J$2-J$1)+MEDIAN('planning '!$J115,J$1,J$2)-MEDIAN('planning '!$H115,J$1,J$2)))</f>
        <v>0.33402777777777776</v>
      </c>
      <c r="K114" s="236"/>
      <c r="M114" s="17"/>
      <c r="N114" s="264"/>
      <c r="O114" s="265" t="s">
        <v>114</v>
      </c>
      <c r="P114" s="266"/>
      <c r="Q114" s="17"/>
    </row>
    <row r="115" spans="2:17" x14ac:dyDescent="0.25">
      <c r="B115" s="231" t="str">
        <f>'planning '!F116</f>
        <v>travail</v>
      </c>
      <c r="C115" s="232">
        <f>C114+1</f>
        <v>43908</v>
      </c>
      <c r="D115" s="233"/>
      <c r="E115" s="240"/>
      <c r="F115" s="235">
        <f>IF(OR('planning '!$H116="",'planning '!$J116=""),0,IF('planning '!$J116&gt;'planning '!$H116,MEDIAN('planning '!$J116,F$2,F$1)-MEDIAN('planning '!$H116,F$2,F$1),+('planning '!$J116&lt;'planning '!$H116)*(F$2-F$1)+MEDIAN('planning '!$J116,F$1,F$2)-MEDIAN('planning '!$H116,F$1,F$2)))-'planning '!AA116</f>
        <v>0.14583333333333326</v>
      </c>
      <c r="G115" s="237" t="s">
        <v>21</v>
      </c>
      <c r="H115" s="235">
        <f>IF(OR('planning '!$H116="",'planning '!$J116=""),0,IF('planning '!$J116&gt;'planning '!$H116,MEDIAN('planning '!$J116,H$2,H$1)-MEDIAN('planning '!$H116,H$2,H$1),+('planning '!$J116&lt;'planning '!$H116)*(H$2-H$1)+MEDIAN('planning '!$J116,H$1,H$2)-MEDIAN('planning '!$H116,H$1,H$2)))</f>
        <v>8.333333333333337E-2</v>
      </c>
      <c r="I115" s="237" t="s">
        <v>111</v>
      </c>
      <c r="J115" s="234">
        <f>IF(OR('planning '!$H116="",'planning '!$J116=""),0,IF('planning '!$J116&gt;'planning '!$H116,MEDIAN('planning '!$J116,J$2,J$1)-MEDIAN('planning '!$H116,J$2,J$1),+('planning '!$J116&lt;'planning '!$H116)*(J$2-J$1)+MEDIAN('planning '!$J116,J$1,J$2)-MEDIAN('planning '!$H116,J$1,J$2)))</f>
        <v>-0.875</v>
      </c>
      <c r="K115" s="237" t="s">
        <v>111</v>
      </c>
      <c r="M115" s="17"/>
      <c r="N115" s="263" t="s">
        <v>117</v>
      </c>
      <c r="O115" s="263" t="s">
        <v>115</v>
      </c>
      <c r="P115" s="263" t="s">
        <v>116</v>
      </c>
      <c r="Q115" s="243" t="s">
        <v>118</v>
      </c>
    </row>
    <row r="116" spans="2:17" x14ac:dyDescent="0.25">
      <c r="B116" s="231" t="str">
        <f>'planning '!F117</f>
        <v>travail</v>
      </c>
      <c r="C116" s="232">
        <f>C115+1</f>
        <v>43909</v>
      </c>
      <c r="D116" s="233"/>
      <c r="E116" s="240"/>
      <c r="F116" s="235">
        <f>IF(OR('planning '!$H117="",'planning '!$J117=""),0,IF('planning '!$J117&gt;'planning '!$H117,MEDIAN('planning '!$J117,F$2,F$1)-MEDIAN('planning '!$H117,F$2,F$1),+('planning '!$J117&lt;'planning '!$H117)*(F$2-F$1)+MEDIAN('planning '!$J117,F$1,F$2)-MEDIAN('planning '!$H117,F$1,F$2)))-'planning '!AA117</f>
        <v>0</v>
      </c>
      <c r="G116" s="237"/>
      <c r="H116" s="235">
        <f>IF(OR('planning '!$H117="",'planning '!$J117=""),0,IF('planning '!$J117&gt;'planning '!$H117,MEDIAN('planning '!$J117,H$2,H$1)-MEDIAN('planning '!$H117,H$2,H$1),+('planning '!$J117&lt;'planning '!$H117)*(H$2-H$1)+MEDIAN('planning '!$J117,H$1,H$2)-MEDIAN('planning '!$H117,H$1,H$2)))</f>
        <v>0</v>
      </c>
      <c r="I116" s="237"/>
      <c r="J116" s="234">
        <f>IF(OR('planning '!$H117="",'planning '!$J117=""),0,IF('planning '!$J117&gt;'planning '!$H117,MEDIAN('planning '!$J117,J$2,J$1)-MEDIAN('planning '!$H117,J$2,J$1),+('planning '!$J117&lt;'planning '!$H117)*(J$2-J$1)+MEDIAN('planning '!$J117,J$1,J$2)-MEDIAN('planning '!$H117,J$1,J$2)))</f>
        <v>0.27986111111111117</v>
      </c>
      <c r="K116" s="237"/>
      <c r="M116" s="231" t="s">
        <v>111</v>
      </c>
      <c r="N116" s="261">
        <f t="shared" ref="N116:Q117" ca="1" si="22">SUMIF(OFFSET($C114:$C121,0,MATCH(N$10,$B$5:$H$5,0)-1,7,1),$K117,OFFSET($B114:$B120,0,MATCH(N$10,$B$5:$H$5,0)-1,7,1))</f>
        <v>0</v>
      </c>
      <c r="O116" s="261">
        <f t="shared" ca="1" si="22"/>
        <v>0</v>
      </c>
      <c r="P116" s="261">
        <f t="shared" ca="1" si="22"/>
        <v>0</v>
      </c>
      <c r="Q116" s="261">
        <f t="shared" ca="1" si="22"/>
        <v>0</v>
      </c>
    </row>
    <row r="117" spans="2:17" x14ac:dyDescent="0.25">
      <c r="B117" s="231" t="str">
        <f>'planning '!F118</f>
        <v>travail</v>
      </c>
      <c r="C117" s="232">
        <f t="shared" ref="C117:C120" si="23">C116+1</f>
        <v>43910</v>
      </c>
      <c r="D117" s="233"/>
      <c r="E117" s="240"/>
      <c r="F117" s="235">
        <f>IF(OR('planning '!$H118="",'planning '!$J118=""),0,IF('planning '!$J118&gt;'planning '!$H118,MEDIAN('planning '!$J118,F$2,F$1)-MEDIAN('planning '!$H118,F$2,F$1),+('planning '!$J118&lt;'planning '!$H118)*(F$2-F$1)+MEDIAN('planning '!$J118,F$1,F$2)-MEDIAN('planning '!$H118,F$1,F$2)))-'planning '!AA118</f>
        <v>0</v>
      </c>
      <c r="G117" s="237"/>
      <c r="H117" s="235">
        <f>IF(OR('planning '!$H118="",'planning '!$J118=""),0,IF('planning '!$J118&gt;'planning '!$H118,MEDIAN('planning '!$J118,H$2,H$1)-MEDIAN('planning '!$H118,H$2,H$1),+('planning '!$J118&lt;'planning '!$H118)*(H$2-H$1)+MEDIAN('planning '!$J118,H$1,H$2)-MEDIAN('planning '!$H118,H$1,H$2)))</f>
        <v>0</v>
      </c>
      <c r="I117" s="237"/>
      <c r="J117" s="234">
        <f>IF(OR('planning '!$H118="",'planning '!$J118=""),0,IF('planning '!$J118&gt;'planning '!$H118,MEDIAN('planning '!$J118,J$2,J$1)-MEDIAN('planning '!$H118,J$2,J$1),+('planning '!$J118&lt;'planning '!$H118)*(J$2-J$1)+MEDIAN('planning '!$J118,J$1,J$2)-MEDIAN('planning '!$H118,J$1,J$2)))</f>
        <v>0.3756944444444445</v>
      </c>
      <c r="K117" s="237"/>
      <c r="M117" s="231" t="s">
        <v>21</v>
      </c>
      <c r="N117" s="261">
        <f t="shared" ca="1" si="22"/>
        <v>0</v>
      </c>
      <c r="O117" s="261">
        <f t="shared" ca="1" si="22"/>
        <v>0</v>
      </c>
      <c r="P117" s="261">
        <f t="shared" ca="1" si="22"/>
        <v>0</v>
      </c>
      <c r="Q117" s="261">
        <f t="shared" ca="1" si="22"/>
        <v>0</v>
      </c>
    </row>
    <row r="118" spans="2:17" x14ac:dyDescent="0.25">
      <c r="B118" s="231" t="str">
        <f>'planning '!F119</f>
        <v>travail</v>
      </c>
      <c r="C118" s="232">
        <f t="shared" si="23"/>
        <v>43911</v>
      </c>
      <c r="D118" s="233"/>
      <c r="E118" s="240"/>
      <c r="F118" s="235">
        <f>IF(OR('planning '!$H119="",'planning '!$J119=""),0,IF('planning '!$J119&gt;'planning '!$H119,MEDIAN('planning '!$J119,F$2,F$1)-MEDIAN('planning '!$H119,F$2,F$1),+('planning '!$J119&lt;'planning '!$H119)*(F$2-F$1)+MEDIAN('planning '!$J119,F$1,F$2)-MEDIAN('planning '!$H119,F$1,F$2)))-'planning '!AA119</f>
        <v>0</v>
      </c>
      <c r="G118" s="237"/>
      <c r="H118" s="235">
        <f>IF(OR('planning '!$H119="",'planning '!$J119=""),0,IF('planning '!$J119&gt;'planning '!$H119,MEDIAN('planning '!$J119,H$2,H$1)-MEDIAN('planning '!$H119,H$2,H$1),+('planning '!$J119&lt;'planning '!$H119)*(H$2-H$1)+MEDIAN('planning '!$J119,H$1,H$2)-MEDIAN('planning '!$H119,H$1,H$2)))</f>
        <v>0</v>
      </c>
      <c r="I118" s="237"/>
      <c r="J118" s="234">
        <f>IF(OR('planning '!$H119="",'planning '!$J119=""),0,IF('planning '!$J119&gt;'planning '!$H119,MEDIAN('planning '!$J119,J$2,J$1)-MEDIAN('planning '!$H119,J$2,J$1),+('planning '!$J119&lt;'planning '!$H119)*(J$2-J$1)+MEDIAN('planning '!$J119,J$1,J$2)-MEDIAN('planning '!$H119,J$1,J$2)))</f>
        <v>0.36944444444444446</v>
      </c>
      <c r="K118" s="237"/>
      <c r="M118" s="17"/>
      <c r="N118" s="17"/>
      <c r="O118" s="17"/>
      <c r="P118" s="17"/>
      <c r="Q118" s="17"/>
    </row>
    <row r="119" spans="2:17" x14ac:dyDescent="0.25">
      <c r="B119" s="231" t="str">
        <f>'planning '!F120</f>
        <v>off</v>
      </c>
      <c r="C119" s="232">
        <f t="shared" si="23"/>
        <v>43912</v>
      </c>
      <c r="D119" s="233">
        <f>IF(OR('planning '!$H120="",'planning '!$J120=""),0,IF('planning '!$J120&gt;'planning '!$H120,MEDIAN('planning '!$J120,D$2,D$1)-MEDIAN('planning '!$H120,D$2,D$1),+('planning '!$J120&lt;'planning '!$H120)*(D$2-D$1)+MEDIAN('planning '!$J120,D$1,D$2)-MEDIAN('planning '!$H120,D$1,D$2)))-'planning '!V120</f>
        <v>0</v>
      </c>
      <c r="E119" s="240"/>
      <c r="F119" s="235">
        <f>IF(OR('planning '!$H120="",'planning '!$J120=""),0,IF('planning '!$J120&gt;'planning '!$H120,MEDIAN('planning '!$J120,F$2,F$1)-MEDIAN('planning '!$H120,F$2,F$1),+('planning '!$J120&lt;'planning '!$H120)*(F$2-F$1)+MEDIAN('planning '!$J120,F$1,F$2)-MEDIAN('planning '!$H120,F$1,F$2)))-'planning '!AA120</f>
        <v>0</v>
      </c>
      <c r="G119" s="237"/>
      <c r="H119" s="235">
        <f>IF(OR('planning '!$H120="",'planning '!$J120=""),0,IF('planning '!$J120&gt;'planning '!$H120,MEDIAN('planning '!$J120,H$2,H$1)-MEDIAN('planning '!$H120,H$2,H$1),+('planning '!$J120&lt;'planning '!$H120)*(H$2-H$1)+MEDIAN('planning '!$J120,H$1,H$2)-MEDIAN('planning '!$H120,H$1,H$2)))</f>
        <v>0</v>
      </c>
      <c r="I119" s="237"/>
      <c r="J119" s="234">
        <f>IF(OR('planning '!$H120="",'planning '!$J120=""),0,IF('planning '!$J120&gt;'planning '!$H120,MEDIAN('planning '!$J120,J$2,J$1)-MEDIAN('planning '!$H120,J$2,J$1),+('planning '!$J120&lt;'planning '!$H120)*(J$2-J$1)+MEDIAN('planning '!$J120,J$1,J$2)-MEDIAN('planning '!$H120,J$1,J$2)))</f>
        <v>0</v>
      </c>
      <c r="K119" s="237"/>
      <c r="M119" s="17"/>
      <c r="N119" s="17"/>
      <c r="O119" s="17"/>
      <c r="P119" s="17"/>
      <c r="Q119" s="17"/>
    </row>
    <row r="120" spans="2:17" ht="15.75" thickBot="1" x14ac:dyDescent="0.3">
      <c r="B120" s="231" t="str">
        <f>'planning '!F121</f>
        <v>off</v>
      </c>
      <c r="C120" s="232">
        <f t="shared" si="23"/>
        <v>43913</v>
      </c>
      <c r="D120" s="233">
        <f>IF(OR('planning '!$H121="",'planning '!$J121=""),0,IF('planning '!$J121&gt;'planning '!$H121,MEDIAN('planning '!$J121,D$2,D$1)-MEDIAN('planning '!$H121,D$2,D$1),+('planning '!$J121&lt;'planning '!$H121)*(D$2-D$1)+MEDIAN('planning '!$J121,D$1,D$2)-MEDIAN('planning '!$H121,D$1,D$2)))-'planning '!V121</f>
        <v>0</v>
      </c>
      <c r="E120" s="241"/>
      <c r="F120" s="235">
        <f>IF(OR('planning '!$H121="",'planning '!$J121=""),0,IF('planning '!$J121&gt;'planning '!$H121,MEDIAN('planning '!$J121,F$2,F$1)-MEDIAN('planning '!$H121,F$2,F$1),+('planning '!$J121&lt;'planning '!$H121)*(F$2-F$1)+MEDIAN('planning '!$J121,F$1,F$2)-MEDIAN('planning '!$H121,F$1,F$2)))-'planning '!AA121</f>
        <v>0</v>
      </c>
      <c r="G120" s="238"/>
      <c r="H120" s="235">
        <f>IF(OR('planning '!$H121="",'planning '!$J121=""),0,IF('planning '!$J121&gt;'planning '!$H121,MEDIAN('planning '!$J121,H$2,H$1)-MEDIAN('planning '!$H121,H$2,H$1),+('planning '!$J121&lt;'planning '!$H121)*(H$2-H$1)+MEDIAN('planning '!$J121,H$1,H$2)-MEDIAN('planning '!$H121,H$1,H$2)))</f>
        <v>0</v>
      </c>
      <c r="I120" s="238"/>
      <c r="J120" s="234">
        <f>IF(OR('planning '!$H121="",'planning '!$J121=""),0,IF('planning '!$J121&gt;'planning '!$H121,MEDIAN('planning '!$J121,J$2,J$1)-MEDIAN('planning '!$H121,J$2,J$1),+('planning '!$J121&lt;'planning '!$H121)*(J$2-J$1)+MEDIAN('planning '!$J121,J$1,J$2)-MEDIAN('planning '!$H121,J$1,J$2)))</f>
        <v>0</v>
      </c>
      <c r="K120" s="238"/>
      <c r="M120" s="17"/>
      <c r="N120" s="17"/>
      <c r="O120" s="17"/>
      <c r="P120" s="17"/>
      <c r="Q120" s="17"/>
    </row>
    <row r="121" spans="2:17" x14ac:dyDescent="0.25">
      <c r="M121" s="17"/>
      <c r="N121" s="17"/>
      <c r="O121" s="17"/>
      <c r="P121" s="17"/>
      <c r="Q121" s="17"/>
    </row>
    <row r="122" spans="2:17" x14ac:dyDescent="0.25">
      <c r="M122" s="17"/>
      <c r="N122" s="17"/>
      <c r="O122" s="17"/>
      <c r="P122" s="17"/>
      <c r="Q122" s="17"/>
    </row>
    <row r="123" spans="2:17" ht="15.75" thickBot="1" x14ac:dyDescent="0.3">
      <c r="M123" s="17"/>
      <c r="N123" s="17"/>
      <c r="O123" s="17"/>
      <c r="P123" s="17"/>
      <c r="Q123" s="17"/>
    </row>
    <row r="124" spans="2:17" x14ac:dyDescent="0.25">
      <c r="B124" s="231" t="str">
        <f>'planning '!F125</f>
        <v>travail</v>
      </c>
      <c r="C124" s="232">
        <f>'planning '!E125</f>
        <v>43914</v>
      </c>
      <c r="D124" s="233"/>
      <c r="E124" s="239"/>
      <c r="F124" s="235">
        <f>IF(OR('planning '!$H125="",'planning '!$J125=""),0,IF('planning '!$J125&gt;'planning '!$H125,MEDIAN('planning '!$J125,F$2,F$1)-MEDIAN('planning '!$H125,F$2,F$1),+('planning '!$J125&lt;'planning '!$H125)*(F$2-F$1)+MEDIAN('planning '!$J125,F$1,F$2)-MEDIAN('planning '!$H125,F$1,F$2)))-'planning '!AA125</f>
        <v>0.11458333333333326</v>
      </c>
      <c r="G124" s="236" t="s">
        <v>21</v>
      </c>
      <c r="H124" s="235">
        <f>IF(OR('planning '!$H125="",'planning '!$J125=""),0,IF('planning '!$J125&gt;'planning '!$H125,MEDIAN('planning '!$J125,H$2,H$1)-MEDIAN('planning '!$H125,H$2,H$1),+('planning '!$J125&lt;'planning '!$H125)*(H$2-H$1)+MEDIAN('planning '!$J125,H$1,H$2)-MEDIAN('planning '!$H125,H$1,H$2)))</f>
        <v>0</v>
      </c>
      <c r="I124" s="236"/>
      <c r="J124" s="234">
        <f>IF(OR('planning '!$H125="",'planning '!$J125=""),0,IF('planning '!$J125&gt;'planning '!$H125,MEDIAN('planning '!$J125,J$2,J$1)-MEDIAN('planning '!$H125,J$2,J$1),+('planning '!$J125&lt;'planning '!$H125)*(J$2-J$1)+MEDIAN('planning '!$J125,J$1,J$2)-MEDIAN('planning '!$H125,J$1,J$2)))</f>
        <v>0.51041666666666663</v>
      </c>
      <c r="K124" s="236"/>
      <c r="M124" s="17"/>
      <c r="N124" s="264"/>
      <c r="O124" s="265" t="s">
        <v>114</v>
      </c>
      <c r="P124" s="266"/>
      <c r="Q124" s="17"/>
    </row>
    <row r="125" spans="2:17" x14ac:dyDescent="0.25">
      <c r="B125" s="231" t="str">
        <f>'planning '!F126</f>
        <v>travail</v>
      </c>
      <c r="C125" s="232">
        <f>C124+1</f>
        <v>43915</v>
      </c>
      <c r="D125" s="233"/>
      <c r="E125" s="240"/>
      <c r="F125" s="235">
        <f>IF(OR('planning '!$H126="",'planning '!$J126=""),0,IF('planning '!$J126&gt;'planning '!$H126,MEDIAN('planning '!$J126,F$2,F$1)-MEDIAN('planning '!$H126,F$2,F$1),+('planning '!$J126&lt;'planning '!$H126)*(F$2-F$1)+MEDIAN('planning '!$J126,F$1,F$2)-MEDIAN('planning '!$H126,F$1,F$2)))-'planning '!AA126</f>
        <v>0.12708333333333333</v>
      </c>
      <c r="G125" s="237" t="s">
        <v>21</v>
      </c>
      <c r="H125" s="235">
        <f>IF(OR('planning '!$H126="",'planning '!$J126=""),0,IF('planning '!$J126&gt;'planning '!$H126,MEDIAN('planning '!$J126,H$2,H$1)-MEDIAN('planning '!$H126,H$2,H$1),+('planning '!$J126&lt;'planning '!$H126)*(H$2-H$1)+MEDIAN('planning '!$J126,H$1,H$2)-MEDIAN('planning '!$H126,H$1,H$2)))</f>
        <v>0</v>
      </c>
      <c r="I125" s="237"/>
      <c r="J125" s="234">
        <f>IF(OR('planning '!$H126="",'planning '!$J126=""),0,IF('planning '!$J126&gt;'planning '!$H126,MEDIAN('planning '!$J126,J$2,J$1)-MEDIAN('planning '!$H126,J$2,J$1),+('planning '!$J126&lt;'planning '!$H126)*(J$2-J$1)+MEDIAN('planning '!$J126,J$1,J$2)-MEDIAN('planning '!$H126,J$1,J$2)))</f>
        <v>0.52222222222222214</v>
      </c>
      <c r="K125" s="237"/>
      <c r="M125" s="17"/>
      <c r="N125" s="263" t="s">
        <v>117</v>
      </c>
      <c r="O125" s="263" t="s">
        <v>115</v>
      </c>
      <c r="P125" s="263" t="s">
        <v>116</v>
      </c>
      <c r="Q125" s="243" t="s">
        <v>118</v>
      </c>
    </row>
    <row r="126" spans="2:17" x14ac:dyDescent="0.25">
      <c r="B126" s="231" t="str">
        <f>'planning '!F127</f>
        <v>travail</v>
      </c>
      <c r="C126" s="232">
        <f>C125+1</f>
        <v>43916</v>
      </c>
      <c r="D126" s="233"/>
      <c r="E126" s="240"/>
      <c r="F126" s="235">
        <f>IF(OR('planning '!$H127="",'planning '!$J127=""),0,IF('planning '!$J127&gt;'planning '!$H127,MEDIAN('planning '!$J127,F$2,F$1)-MEDIAN('planning '!$H127,F$2,F$1),+('planning '!$J127&lt;'planning '!$H127)*(F$2-F$1)+MEDIAN('planning '!$J127,F$1,F$2)-MEDIAN('planning '!$H127,F$1,F$2)))-'planning '!AA127</f>
        <v>0.14583333333333326</v>
      </c>
      <c r="G126" s="237" t="s">
        <v>21</v>
      </c>
      <c r="H126" s="235">
        <f>IF(OR('planning '!$H127="",'planning '!$J127=""),0,IF('planning '!$J127&gt;'planning '!$H127,MEDIAN('planning '!$J127,H$2,H$1)-MEDIAN('planning '!$H127,H$2,H$1),+('planning '!$J127&lt;'planning '!$H127)*(H$2-H$1)+MEDIAN('planning '!$J127,H$1,H$2)-MEDIAN('planning '!$H127,H$1,H$2)))</f>
        <v>6.8055555555555536E-2</v>
      </c>
      <c r="I126" s="237" t="s">
        <v>21</v>
      </c>
      <c r="J126" s="234">
        <f>IF(OR('planning '!$H127="",'planning '!$J127=""),0,IF('planning '!$J127&gt;'planning '!$H127,MEDIAN('planning '!$J127,J$2,J$1)-MEDIAN('planning '!$H127,J$2,J$1),+('planning '!$J127&lt;'planning '!$H127)*(J$2-J$1)+MEDIAN('planning '!$J127,J$1,J$2)-MEDIAN('planning '!$H127,J$1,J$2)))</f>
        <v>0.55833333333333335</v>
      </c>
      <c r="K126" s="237"/>
      <c r="M126" s="231" t="s">
        <v>111</v>
      </c>
      <c r="N126" s="261">
        <f t="shared" ref="N126:Q127" ca="1" si="24">SUMIF(OFFSET($C124:$C131,0,MATCH(N$10,$B$5:$H$5,0)-1,7,1),$K127,OFFSET($B124:$B130,0,MATCH(N$10,$B$5:$H$5,0)-1,7,1))</f>
        <v>0</v>
      </c>
      <c r="O126" s="261">
        <f t="shared" ca="1" si="24"/>
        <v>0</v>
      </c>
      <c r="P126" s="261">
        <f t="shared" ca="1" si="24"/>
        <v>0</v>
      </c>
      <c r="Q126" s="261">
        <f t="shared" ca="1" si="24"/>
        <v>0</v>
      </c>
    </row>
    <row r="127" spans="2:17" x14ac:dyDescent="0.25">
      <c r="B127" s="231" t="str">
        <f>'planning '!F128</f>
        <v>travail</v>
      </c>
      <c r="C127" s="232">
        <f t="shared" ref="C127:C130" si="25">C126+1</f>
        <v>43917</v>
      </c>
      <c r="D127" s="233"/>
      <c r="E127" s="240"/>
      <c r="F127" s="235">
        <f>IF(OR('planning '!$H128="",'planning '!$J128=""),0,IF('planning '!$J128&gt;'planning '!$H128,MEDIAN('planning '!$J128,F$2,F$1)-MEDIAN('planning '!$H128,F$2,F$1),+('planning '!$J128&lt;'planning '!$H128)*(F$2-F$1)+MEDIAN('planning '!$J128,F$1,F$2)-MEDIAN('planning '!$H128,F$1,F$2)))-'planning '!AA128</f>
        <v>8.9583333333333237E-2</v>
      </c>
      <c r="G127" s="237" t="s">
        <v>21</v>
      </c>
      <c r="H127" s="235">
        <f>IF(OR('planning '!$H128="",'planning '!$J128=""),0,IF('planning '!$J128&gt;'planning '!$H128,MEDIAN('planning '!$J128,H$2,H$1)-MEDIAN('planning '!$H128,H$2,H$1),+('planning '!$J128&lt;'planning '!$H128)*(H$2-H$1)+MEDIAN('planning '!$J128,H$1,H$2)-MEDIAN('planning '!$H128,H$1,H$2)))</f>
        <v>0</v>
      </c>
      <c r="I127" s="237"/>
      <c r="J127" s="234">
        <f>IF(OR('planning '!$H128="",'planning '!$J128=""),0,IF('planning '!$J128&gt;'planning '!$H128,MEDIAN('planning '!$J128,J$2,J$1)-MEDIAN('planning '!$H128,J$2,J$1),+('planning '!$J128&lt;'planning '!$H128)*(J$2-J$1)+MEDIAN('planning '!$J128,J$1,J$2)-MEDIAN('planning '!$H128,J$1,J$2)))</f>
        <v>0.40763888888888883</v>
      </c>
      <c r="K127" s="237"/>
      <c r="M127" s="231" t="s">
        <v>21</v>
      </c>
      <c r="N127" s="261">
        <f t="shared" ca="1" si="24"/>
        <v>0</v>
      </c>
      <c r="O127" s="261">
        <f t="shared" ca="1" si="24"/>
        <v>0</v>
      </c>
      <c r="P127" s="261">
        <f t="shared" ca="1" si="24"/>
        <v>0</v>
      </c>
      <c r="Q127" s="261">
        <f t="shared" ca="1" si="24"/>
        <v>0</v>
      </c>
    </row>
    <row r="128" spans="2:17" x14ac:dyDescent="0.25">
      <c r="B128" s="231" t="str">
        <f>'planning '!F129</f>
        <v>travail</v>
      </c>
      <c r="C128" s="232">
        <f t="shared" si="25"/>
        <v>43918</v>
      </c>
      <c r="D128" s="233"/>
      <c r="E128" s="240"/>
      <c r="F128" s="235">
        <f>IF(OR('planning '!$H129="",'planning '!$J129=""),0,IF('planning '!$J129&gt;'planning '!$H129,MEDIAN('planning '!$J129,F$2,F$1)-MEDIAN('planning '!$H129,F$2,F$1),+('planning '!$J129&lt;'planning '!$H129)*(F$2-F$1)+MEDIAN('planning '!$J129,F$1,F$2)-MEDIAN('planning '!$H129,F$1,F$2)))-'planning '!AA129</f>
        <v>0.14583333333333326</v>
      </c>
      <c r="G128" s="237" t="s">
        <v>21</v>
      </c>
      <c r="H128" s="235">
        <f>IF(OR('planning '!$H129="",'planning '!$J129=""),0,IF('planning '!$J129&gt;'planning '!$H129,MEDIAN('planning '!$J129,H$2,H$1)-MEDIAN('planning '!$H129,H$2,H$1),+('planning '!$J129&lt;'planning '!$H129)*(H$2-H$1)+MEDIAN('planning '!$J129,H$1,H$2)-MEDIAN('planning '!$H129,H$1,H$2)))</f>
        <v>5.7638888888888906E-2</v>
      </c>
      <c r="I128" s="237" t="s">
        <v>111</v>
      </c>
      <c r="J128" s="234">
        <f>IF(OR('planning '!$H129="",'planning '!$J129=""),0,IF('planning '!$J129&gt;'planning '!$H129,MEDIAN('planning '!$J129,J$2,J$1)-MEDIAN('planning '!$H129,J$2,J$1),+('planning '!$J129&lt;'planning '!$H129)*(J$2-J$1)+MEDIAN('planning '!$J129,J$1,J$2)-MEDIAN('planning '!$H129,J$1,J$2)))</f>
        <v>0.61388888888888893</v>
      </c>
      <c r="K128" s="237"/>
      <c r="M128" s="17"/>
      <c r="N128" s="17"/>
      <c r="O128" s="17"/>
      <c r="P128" s="17"/>
      <c r="Q128" s="17"/>
    </row>
    <row r="129" spans="2:17" x14ac:dyDescent="0.25">
      <c r="B129" s="231" t="str">
        <f>'planning '!F130</f>
        <v>off</v>
      </c>
      <c r="C129" s="232">
        <f t="shared" si="25"/>
        <v>43919</v>
      </c>
      <c r="D129" s="233">
        <f>IF(OR('planning '!$H130="",'planning '!$J130=""),0,IF('planning '!$J130&gt;'planning '!$H130,MEDIAN('planning '!$J130,D$2,D$1)-MEDIAN('planning '!$H130,D$2,D$1),+('planning '!$J130&lt;'planning '!$H130)*(D$2-D$1)+MEDIAN('planning '!$J130,D$1,D$2)-MEDIAN('planning '!$H130,D$1,D$2)))-'planning '!V130</f>
        <v>0</v>
      </c>
      <c r="E129" s="240"/>
      <c r="F129" s="235">
        <f>IF(OR('planning '!$H130="",'planning '!$J130=""),0,IF('planning '!$J130&gt;'planning '!$H130,MEDIAN('planning '!$J130,F$2,F$1)-MEDIAN('planning '!$H130,F$2,F$1),+('planning '!$J130&lt;'planning '!$H130)*(F$2-F$1)+MEDIAN('planning '!$J130,F$1,F$2)-MEDIAN('planning '!$H130,F$1,F$2)))-'planning '!AA130</f>
        <v>0</v>
      </c>
      <c r="G129" s="237"/>
      <c r="H129" s="235">
        <f>IF(OR('planning '!$H130="",'planning '!$J130=""),0,IF('planning '!$J130&gt;'planning '!$H130,MEDIAN('planning '!$J130,H$2,H$1)-MEDIAN('planning '!$H130,H$2,H$1),+('planning '!$J130&lt;'planning '!$H130)*(H$2-H$1)+MEDIAN('planning '!$J130,H$1,H$2)-MEDIAN('planning '!$H130,H$1,H$2)))</f>
        <v>0</v>
      </c>
      <c r="I129" s="237"/>
      <c r="J129" s="234">
        <f>IF(OR('planning '!$H130="",'planning '!$J130=""),0,IF('planning '!$J130&gt;'planning '!$H130,MEDIAN('planning '!$J130,J$2,J$1)-MEDIAN('planning '!$H130,J$2,J$1),+('planning '!$J130&lt;'planning '!$H130)*(J$2-J$1)+MEDIAN('planning '!$J130,J$1,J$2)-MEDIAN('planning '!$H130,J$1,J$2)))</f>
        <v>0</v>
      </c>
      <c r="K129" s="237"/>
      <c r="M129" s="17"/>
      <c r="N129" s="17"/>
      <c r="O129" s="17"/>
      <c r="P129" s="17"/>
      <c r="Q129" s="17"/>
    </row>
    <row r="130" spans="2:17" ht="15.75" thickBot="1" x14ac:dyDescent="0.3">
      <c r="B130" s="231" t="str">
        <f>'planning '!F131</f>
        <v>off</v>
      </c>
      <c r="C130" s="232">
        <f t="shared" si="25"/>
        <v>43920</v>
      </c>
      <c r="D130" s="233">
        <f>IF(OR('planning '!$H131="",'planning '!$J131=""),0,IF('planning '!$J131&gt;'planning '!$H131,MEDIAN('planning '!$J131,D$2,D$1)-MEDIAN('planning '!$H131,D$2,D$1),+('planning '!$J131&lt;'planning '!$H131)*(D$2-D$1)+MEDIAN('planning '!$J131,D$1,D$2)-MEDIAN('planning '!$H131,D$1,D$2)))-'planning '!V131</f>
        <v>0</v>
      </c>
      <c r="E130" s="241"/>
      <c r="F130" s="235">
        <f>IF(OR('planning '!$H131="",'planning '!$J131=""),0,IF('planning '!$J131&gt;'planning '!$H131,MEDIAN('planning '!$J131,F$2,F$1)-MEDIAN('planning '!$H131,F$2,F$1),+('planning '!$J131&lt;'planning '!$H131)*(F$2-F$1)+MEDIAN('planning '!$J131,F$1,F$2)-MEDIAN('planning '!$H131,F$1,F$2)))-'planning '!AA131</f>
        <v>0</v>
      </c>
      <c r="G130" s="238"/>
      <c r="H130" s="235">
        <f>IF(OR('planning '!$H131="",'planning '!$J131=""),0,IF('planning '!$J131&gt;'planning '!$H131,MEDIAN('planning '!$J131,H$2,H$1)-MEDIAN('planning '!$H131,H$2,H$1),+('planning '!$J131&lt;'planning '!$H131)*(H$2-H$1)+MEDIAN('planning '!$J131,H$1,H$2)-MEDIAN('planning '!$H131,H$1,H$2)))</f>
        <v>0</v>
      </c>
      <c r="I130" s="238"/>
      <c r="J130" s="234">
        <f>IF(OR('planning '!$H131="",'planning '!$J131=""),0,IF('planning '!$J131&gt;'planning '!$H131,MEDIAN('planning '!$J131,J$2,J$1)-MEDIAN('planning '!$H131,J$2,J$1),+('planning '!$J131&lt;'planning '!$H131)*(J$2-J$1)+MEDIAN('planning '!$J131,J$1,J$2)-MEDIAN('planning '!$H131,J$1,J$2)))</f>
        <v>0</v>
      </c>
      <c r="K130" s="238"/>
      <c r="M130" s="17"/>
      <c r="N130" s="17"/>
      <c r="O130" s="17"/>
      <c r="P130" s="17"/>
      <c r="Q130" s="17"/>
    </row>
    <row r="131" spans="2:17" x14ac:dyDescent="0.25">
      <c r="M131" s="17"/>
      <c r="N131" s="17"/>
      <c r="O131" s="17"/>
      <c r="P131" s="17"/>
      <c r="Q131" s="17"/>
    </row>
    <row r="132" spans="2:17" x14ac:dyDescent="0.25">
      <c r="M132" s="17"/>
      <c r="N132" s="17"/>
      <c r="O132" s="17"/>
      <c r="P132" s="17"/>
      <c r="Q132" s="17"/>
    </row>
    <row r="133" spans="2:17" ht="15.75" thickBot="1" x14ac:dyDescent="0.3">
      <c r="M133" s="17"/>
      <c r="N133" s="17"/>
      <c r="O133" s="17"/>
      <c r="P133" s="17"/>
      <c r="Q133" s="17"/>
    </row>
    <row r="134" spans="2:17" x14ac:dyDescent="0.25">
      <c r="B134" s="231" t="str">
        <f>'planning '!F135</f>
        <v xml:space="preserve">férié </v>
      </c>
      <c r="C134" s="232">
        <f>'planning '!E135</f>
        <v>43921</v>
      </c>
      <c r="D134" s="233"/>
      <c r="E134" s="239"/>
      <c r="F134" s="235">
        <f>IF(OR('planning '!$H135="",'planning '!$J135=""),0,IF('planning '!$J135&gt;'planning '!$H135,MEDIAN('planning '!$J135,F$2,F$1)-MEDIAN('planning '!$H135,F$2,F$1),+('planning '!$J135&lt;'planning '!$H135)*(F$2-F$1)+MEDIAN('planning '!$J135,F$1,F$2)-MEDIAN('planning '!$H135,F$1,F$2)))-'planning '!AA135</f>
        <v>0</v>
      </c>
      <c r="G134" s="236"/>
      <c r="H134" s="235">
        <f>IF(OR('planning '!$H135="",'planning '!$J135=""),0,IF('planning '!$J135&gt;'planning '!$H135,MEDIAN('planning '!$J135,H$2,H$1)-MEDIAN('planning '!$H135,H$2,H$1),+('planning '!$J135&lt;'planning '!$H135)*(H$2-H$1)+MEDIAN('planning '!$J135,H$1,H$2)-MEDIAN('planning '!$H135,H$1,H$2)))</f>
        <v>0</v>
      </c>
      <c r="I134" s="236"/>
      <c r="J134" s="234">
        <f>IF(OR('planning '!$H135="",'planning '!$J135=""),0,IF('planning '!$J135&gt;'planning '!$H135,MEDIAN('planning '!$J135,J$2,J$1)-MEDIAN('planning '!$H135,J$2,J$1),+('planning '!$J135&lt;'planning '!$H135)*(J$2-J$1)+MEDIAN('planning '!$J135,J$1,J$2)-MEDIAN('planning '!$H135,J$1,J$2)))</f>
        <v>0</v>
      </c>
      <c r="K134" s="236"/>
      <c r="M134" s="17"/>
      <c r="N134" s="262"/>
      <c r="O134" s="231" t="s">
        <v>114</v>
      </c>
      <c r="P134" s="17"/>
      <c r="Q134" s="17"/>
    </row>
    <row r="135" spans="2:17" x14ac:dyDescent="0.25">
      <c r="B135" s="231" t="str">
        <f>'planning '!F136</f>
        <v>travail</v>
      </c>
      <c r="C135" s="232">
        <f>C134+1</f>
        <v>43922</v>
      </c>
      <c r="D135" s="233"/>
      <c r="E135" s="240"/>
      <c r="F135" s="235">
        <f>IF(OR('planning '!$H136="",'planning '!$J136=""),0,IF('planning '!$J136&gt;'planning '!$H136,MEDIAN('planning '!$J136,F$2,F$1)-MEDIAN('planning '!$H136,F$2,F$1),+('planning '!$J136&lt;'planning '!$H136)*(F$2-F$1)+MEDIAN('planning '!$J136,F$1,F$2)-MEDIAN('planning '!$H136,F$1,F$2)))-'planning '!AA136</f>
        <v>0</v>
      </c>
      <c r="G135" s="237"/>
      <c r="H135" s="235">
        <f>IF(OR('planning '!$H136="",'planning '!$J136=""),0,IF('planning '!$J136&gt;'planning '!$H136,MEDIAN('planning '!$J136,H$2,H$1)-MEDIAN('planning '!$H136,H$2,H$1),+('planning '!$J136&lt;'planning '!$H136)*(H$2-H$1)+MEDIAN('planning '!$J136,H$1,H$2)-MEDIAN('planning '!$H136,H$1,H$2)))</f>
        <v>0</v>
      </c>
      <c r="I135" s="237"/>
      <c r="J135" s="234">
        <f>IF(OR('planning '!$H136="",'planning '!$J136=""),0,IF('planning '!$J136&gt;'planning '!$H136,MEDIAN('planning '!$J136,J$2,J$1)-MEDIAN('planning '!$H136,J$2,J$1),+('planning '!$J136&lt;'planning '!$H136)*(J$2-J$1)+MEDIAN('planning '!$J136,J$1,J$2)-MEDIAN('planning '!$H136,J$1,J$2)))</f>
        <v>0.33958333333333329</v>
      </c>
      <c r="K135" s="237"/>
      <c r="M135" s="17"/>
      <c r="N135" s="243" t="s">
        <v>117</v>
      </c>
      <c r="O135" s="243" t="s">
        <v>115</v>
      </c>
      <c r="P135" s="243" t="s">
        <v>116</v>
      </c>
      <c r="Q135" s="243" t="s">
        <v>118</v>
      </c>
    </row>
    <row r="136" spans="2:17" x14ac:dyDescent="0.25">
      <c r="B136" s="231" t="str">
        <f>'planning '!F137</f>
        <v>travail</v>
      </c>
      <c r="C136" s="232">
        <f>C135+1</f>
        <v>43923</v>
      </c>
      <c r="D136" s="233"/>
      <c r="E136" s="240"/>
      <c r="F136" s="235">
        <f>IF(OR('planning '!$H137="",'planning '!$J137=""),0,IF('planning '!$J137&gt;'planning '!$H137,MEDIAN('planning '!$J137,F$2,F$1)-MEDIAN('planning '!$H137,F$2,F$1),+('planning '!$J137&lt;'planning '!$H137)*(F$2-F$1)+MEDIAN('planning '!$J137,F$1,F$2)-MEDIAN('planning '!$H137,F$1,F$2)))-'planning '!AA137</f>
        <v>0.11111111111111116</v>
      </c>
      <c r="G136" s="237" t="s">
        <v>21</v>
      </c>
      <c r="H136" s="235">
        <f>IF(OR('planning '!$H137="",'planning '!$J137=""),0,IF('planning '!$J137&gt;'planning '!$H137,MEDIAN('planning '!$J137,H$2,H$1)-MEDIAN('planning '!$H137,H$2,H$1),+('planning '!$J137&lt;'planning '!$H137)*(H$2-H$1)+MEDIAN('planning '!$J137,H$1,H$2)-MEDIAN('planning '!$H137,H$1,H$2)))</f>
        <v>0</v>
      </c>
      <c r="I136" s="237"/>
      <c r="J136" s="234">
        <f>IF(OR('planning '!$H137="",'planning '!$J137=""),0,IF('planning '!$J137&gt;'planning '!$H137,MEDIAN('planning '!$J137,J$2,J$1)-MEDIAN('planning '!$H137,J$2,J$1),+('planning '!$J137&lt;'planning '!$H137)*(J$2-J$1)+MEDIAN('planning '!$J137,J$1,J$2)-MEDIAN('planning '!$H137,J$1,J$2)))</f>
        <v>0.50347222222222232</v>
      </c>
      <c r="K136" s="237"/>
      <c r="M136" s="231" t="s">
        <v>111</v>
      </c>
      <c r="N136" s="261">
        <f t="shared" ref="N136:Q137" ca="1" si="26">SUMIF(OFFSET($C134:$C141,0,MATCH(N$10,$B$5:$H$5,0)-1,7,1),$K137,OFFSET($B134:$B140,0,MATCH(N$10,$B$5:$H$5,0)-1,7,1))</f>
        <v>0</v>
      </c>
      <c r="O136" s="261">
        <f t="shared" ca="1" si="26"/>
        <v>0</v>
      </c>
      <c r="P136" s="261">
        <f t="shared" ca="1" si="26"/>
        <v>0</v>
      </c>
      <c r="Q136" s="261">
        <f t="shared" ca="1" si="26"/>
        <v>0</v>
      </c>
    </row>
    <row r="137" spans="2:17" x14ac:dyDescent="0.25">
      <c r="B137" s="231" t="str">
        <f>'planning '!F138</f>
        <v>travail</v>
      </c>
      <c r="C137" s="232">
        <f t="shared" ref="C137:C140" si="27">C136+1</f>
        <v>43924</v>
      </c>
      <c r="D137" s="233"/>
      <c r="E137" s="240"/>
      <c r="F137" s="235">
        <f>IF(OR('planning '!$H138="",'planning '!$J138=""),0,IF('planning '!$J138&gt;'planning '!$H138,MEDIAN('planning '!$J138,F$2,F$1)-MEDIAN('planning '!$H138,F$2,F$1),+('planning '!$J138&lt;'planning '!$H138)*(F$2-F$1)+MEDIAN('planning '!$J138,F$1,F$2)-MEDIAN('planning '!$H138,F$1,F$2)))-'planning '!AA138</f>
        <v>0.14583333333333326</v>
      </c>
      <c r="G137" s="237" t="s">
        <v>21</v>
      </c>
      <c r="H137" s="235">
        <f>IF(OR('planning '!$H138="",'planning '!$J138=""),0,IF('planning '!$J138&gt;'planning '!$H138,MEDIAN('planning '!$J138,H$2,H$1)-MEDIAN('planning '!$H138,H$2,H$1),+('planning '!$J138&lt;'planning '!$H138)*(H$2-H$1)+MEDIAN('planning '!$J138,H$1,H$2)-MEDIAN('planning '!$H138,H$1,H$2)))</f>
        <v>7.8472222222222276E-2</v>
      </c>
      <c r="I137" s="237" t="s">
        <v>111</v>
      </c>
      <c r="J137" s="234">
        <f>IF(OR('planning '!$H138="",'planning '!$J138=""),0,IF('planning '!$J138&gt;'planning '!$H138,MEDIAN('planning '!$J138,J$2,J$1)-MEDIAN('planning '!$H138,J$2,J$1),+('planning '!$J138&lt;'planning '!$H138)*(J$2-J$1)+MEDIAN('planning '!$J138,J$1,J$2)-MEDIAN('planning '!$H138,J$1,J$2)))</f>
        <v>0.41388888888888897</v>
      </c>
      <c r="K137" s="237"/>
      <c r="M137" s="231" t="s">
        <v>21</v>
      </c>
      <c r="N137" s="261">
        <f t="shared" ca="1" si="26"/>
        <v>0</v>
      </c>
      <c r="O137" s="261">
        <f t="shared" ca="1" si="26"/>
        <v>0</v>
      </c>
      <c r="P137" s="261">
        <f t="shared" ca="1" si="26"/>
        <v>0</v>
      </c>
      <c r="Q137" s="261">
        <f t="shared" ca="1" si="26"/>
        <v>0</v>
      </c>
    </row>
    <row r="138" spans="2:17" x14ac:dyDescent="0.25">
      <c r="B138" s="231" t="str">
        <f>'planning '!F139</f>
        <v>travail</v>
      </c>
      <c r="C138" s="232">
        <f t="shared" si="27"/>
        <v>43925</v>
      </c>
      <c r="D138" s="233"/>
      <c r="E138" s="240"/>
      <c r="F138" s="235">
        <f>IF(OR('planning '!$H139="",'planning '!$J139=""),0,IF('planning '!$J139&gt;'planning '!$H139,MEDIAN('planning '!$J139,F$2,F$1)-MEDIAN('planning '!$H139,F$2,F$1),+('planning '!$J139&lt;'planning '!$H139)*(F$2-F$1)+MEDIAN('planning '!$J139,F$1,F$2)-MEDIAN('planning '!$H139,F$1,F$2)))-'planning '!AA139</f>
        <v>0</v>
      </c>
      <c r="G138" s="237"/>
      <c r="H138" s="235">
        <f>IF(OR('planning '!$H139="",'planning '!$J139=""),0,IF('planning '!$J139&gt;'planning '!$H139,MEDIAN('planning '!$J139,H$2,H$1)-MEDIAN('planning '!$H139,H$2,H$1),+('planning '!$J139&lt;'planning '!$H139)*(H$2-H$1)+MEDIAN('planning '!$J139,H$1,H$2)-MEDIAN('planning '!$H139,H$1,H$2)))</f>
        <v>0</v>
      </c>
      <c r="I138" s="237"/>
      <c r="J138" s="234">
        <f>IF(OR('planning '!$H139="",'planning '!$J139=""),0,IF('planning '!$J139&gt;'planning '!$H139,MEDIAN('planning '!$J139,J$2,J$1)-MEDIAN('planning '!$H139,J$2,J$1),+('planning '!$J139&lt;'planning '!$H139)*(J$2-J$1)+MEDIAN('planning '!$J139,J$1,J$2)-MEDIAN('planning '!$H139,J$1,J$2)))</f>
        <v>0.35972222222222217</v>
      </c>
      <c r="K138" s="237"/>
      <c r="M138" s="17"/>
      <c r="N138" s="17"/>
      <c r="O138" s="17"/>
      <c r="P138" s="17"/>
      <c r="Q138" s="17"/>
    </row>
    <row r="139" spans="2:17" x14ac:dyDescent="0.25">
      <c r="B139" s="231" t="str">
        <f>'planning '!F140</f>
        <v>off</v>
      </c>
      <c r="C139" s="232">
        <f t="shared" si="27"/>
        <v>43926</v>
      </c>
      <c r="D139" s="233">
        <f>IF(OR('planning '!$H140="",'planning '!$J140=""),0,IF('planning '!$J140&gt;'planning '!$H140,MEDIAN('planning '!$J140,D$2,D$1)-MEDIAN('planning '!$H140,D$2,D$1),+('planning '!$J140&lt;'planning '!$H140)*(D$2-D$1)+MEDIAN('planning '!$J140,D$1,D$2)-MEDIAN('planning '!$H140,D$1,D$2)))-'planning '!V140</f>
        <v>0</v>
      </c>
      <c r="E139" s="240"/>
      <c r="F139" s="235">
        <f>IF(OR('planning '!$H140="",'planning '!$J140=""),0,IF('planning '!$J140&gt;'planning '!$H140,MEDIAN('planning '!$J140,F$2,F$1)-MEDIAN('planning '!$H140,F$2,F$1),+('planning '!$J140&lt;'planning '!$H140)*(F$2-F$1)+MEDIAN('planning '!$J140,F$1,F$2)-MEDIAN('planning '!$H140,F$1,F$2)))-'planning '!AA140</f>
        <v>0</v>
      </c>
      <c r="G139" s="237"/>
      <c r="H139" s="235">
        <f>IF(OR('planning '!$H140="",'planning '!$J140=""),0,IF('planning '!$J140&gt;'planning '!$H140,MEDIAN('planning '!$J140,H$2,H$1)-MEDIAN('planning '!$H140,H$2,H$1),+('planning '!$J140&lt;'planning '!$H140)*(H$2-H$1)+MEDIAN('planning '!$J140,H$1,H$2)-MEDIAN('planning '!$H140,H$1,H$2)))</f>
        <v>0</v>
      </c>
      <c r="I139" s="237"/>
      <c r="J139" s="234">
        <f>IF(OR('planning '!$H140="",'planning '!$J140=""),0,IF('planning '!$J140&gt;'planning '!$H140,MEDIAN('planning '!$J140,J$2,J$1)-MEDIAN('planning '!$H140,J$2,J$1),+('planning '!$J140&lt;'planning '!$H140)*(J$2-J$1)+MEDIAN('planning '!$J140,J$1,J$2)-MEDIAN('planning '!$H140,J$1,J$2)))</f>
        <v>0</v>
      </c>
      <c r="K139" s="237"/>
      <c r="M139" s="17"/>
      <c r="N139" s="17"/>
      <c r="O139" s="17"/>
      <c r="P139" s="17"/>
      <c r="Q139" s="17"/>
    </row>
    <row r="140" spans="2:17" ht="15.75" thickBot="1" x14ac:dyDescent="0.3">
      <c r="B140" s="231" t="str">
        <f>'planning '!F141</f>
        <v>off</v>
      </c>
      <c r="C140" s="232">
        <f t="shared" si="27"/>
        <v>43927</v>
      </c>
      <c r="D140" s="233">
        <f>IF(OR('planning '!$H141="",'planning '!$J141=""),0,IF('planning '!$J141&gt;'planning '!$H141,MEDIAN('planning '!$J141,D$2,D$1)-MEDIAN('planning '!$H141,D$2,D$1),+('planning '!$J141&lt;'planning '!$H141)*(D$2-D$1)+MEDIAN('planning '!$J141,D$1,D$2)-MEDIAN('planning '!$H141,D$1,D$2)))-'planning '!V141</f>
        <v>0</v>
      </c>
      <c r="E140" s="241"/>
      <c r="F140" s="235">
        <f>IF(OR('planning '!$H141="",'planning '!$J141=""),0,IF('planning '!$J141&gt;'planning '!$H141,MEDIAN('planning '!$J141,F$2,F$1)-MEDIAN('planning '!$H141,F$2,F$1),+('planning '!$J141&lt;'planning '!$H141)*(F$2-F$1)+MEDIAN('planning '!$J141,F$1,F$2)-MEDIAN('planning '!$H141,F$1,F$2)))-'planning '!AA141</f>
        <v>0</v>
      </c>
      <c r="G140" s="238"/>
      <c r="H140" s="235">
        <f>IF(OR('planning '!$H141="",'planning '!$J141=""),0,IF('planning '!$J141&gt;'planning '!$H141,MEDIAN('planning '!$J141,H$2,H$1)-MEDIAN('planning '!$H141,H$2,H$1),+('planning '!$J141&lt;'planning '!$H141)*(H$2-H$1)+MEDIAN('planning '!$J141,H$1,H$2)-MEDIAN('planning '!$H141,H$1,H$2)))</f>
        <v>0</v>
      </c>
      <c r="I140" s="238"/>
      <c r="J140" s="234">
        <f>IF(OR('planning '!$H141="",'planning '!$J141=""),0,IF('planning '!$J141&gt;'planning '!$H141,MEDIAN('planning '!$J141,J$2,J$1)-MEDIAN('planning '!$H141,J$2,J$1),+('planning '!$J141&lt;'planning '!$H141)*(J$2-J$1)+MEDIAN('planning '!$J141,J$1,J$2)-MEDIAN('planning '!$H141,J$1,J$2)))</f>
        <v>0</v>
      </c>
      <c r="K140" s="238"/>
      <c r="M140" s="17"/>
      <c r="N140" s="17"/>
      <c r="O140" s="17"/>
      <c r="P140" s="17"/>
      <c r="Q140" s="17"/>
    </row>
    <row r="141" spans="2:17" x14ac:dyDescent="0.25">
      <c r="M141" s="17"/>
      <c r="N141" s="17"/>
      <c r="O141" s="17"/>
      <c r="P141" s="17"/>
      <c r="Q141" s="17"/>
    </row>
    <row r="142" spans="2:17" x14ac:dyDescent="0.25">
      <c r="M142" s="17"/>
      <c r="N142" s="17"/>
      <c r="O142" s="17"/>
      <c r="P142" s="17"/>
      <c r="Q142" s="17"/>
    </row>
    <row r="143" spans="2:17" ht="15.75" thickBot="1" x14ac:dyDescent="0.3">
      <c r="M143" s="17"/>
      <c r="N143" s="17"/>
      <c r="O143" s="17"/>
      <c r="P143" s="17"/>
      <c r="Q143" s="17"/>
    </row>
    <row r="144" spans="2:17" x14ac:dyDescent="0.25">
      <c r="B144" s="231" t="str">
        <f>'planning '!F145</f>
        <v>travail</v>
      </c>
      <c r="C144" s="232">
        <f>'planning '!E145</f>
        <v>43928</v>
      </c>
      <c r="D144" s="233"/>
      <c r="E144" s="239"/>
      <c r="F144" s="235">
        <f>IF(OR('planning '!$H145="",'planning '!$J145=""),0,IF('planning '!$J145&gt;'planning '!$H145,MEDIAN('planning '!$J145,F$2,F$1)-MEDIAN('planning '!$H145,F$2,F$1),+('planning '!$J145&lt;'planning '!$H145)*(F$2-F$1)+MEDIAN('planning '!$J145,F$1,F$2)-MEDIAN('planning '!$H145,F$1,F$2)))-'planning '!AA145</f>
        <v>0</v>
      </c>
      <c r="G144" s="236"/>
      <c r="H144" s="235">
        <f>IF(OR('planning '!$H145="",'planning '!$J145=""),0,IF('planning '!$J145&gt;'planning '!$H145,MEDIAN('planning '!$J145,H$2,H$1)-MEDIAN('planning '!$H145,H$2,H$1),+('planning '!$J145&lt;'planning '!$H145)*(H$2-H$1)+MEDIAN('planning '!$J145,H$1,H$2)-MEDIAN('planning '!$H145,H$1,H$2)))</f>
        <v>0</v>
      </c>
      <c r="I144" s="236"/>
      <c r="J144" s="234">
        <f>IF(OR('planning '!$H145="",'planning '!$J145=""),0,IF('planning '!$J145&gt;'planning '!$H145,MEDIAN('planning '!$J145,J$2,J$1)-MEDIAN('planning '!$H145,J$2,J$1),+('planning '!$J145&lt;'planning '!$H145)*(J$2-J$1)+MEDIAN('planning '!$J145,J$1,J$2)-MEDIAN('planning '!$H145,J$1,J$2)))</f>
        <v>0.34097222222222212</v>
      </c>
      <c r="K144" s="236"/>
      <c r="M144" s="17"/>
      <c r="N144" s="264"/>
      <c r="O144" s="265" t="s">
        <v>114</v>
      </c>
      <c r="P144" s="266"/>
      <c r="Q144" s="17"/>
    </row>
    <row r="145" spans="2:17" x14ac:dyDescent="0.25">
      <c r="B145" s="231" t="str">
        <f>'planning '!F146</f>
        <v>travail</v>
      </c>
      <c r="C145" s="232">
        <f>C144+1</f>
        <v>43929</v>
      </c>
      <c r="D145" s="233"/>
      <c r="E145" s="240"/>
      <c r="F145" s="235">
        <f>IF(OR('planning '!$H146="",'planning '!$J146=""),0,IF('planning '!$J146&gt;'planning '!$H146,MEDIAN('planning '!$J146,F$2,F$1)-MEDIAN('planning '!$H146,F$2,F$1),+('planning '!$J146&lt;'planning '!$H146)*(F$2-F$1)+MEDIAN('planning '!$J146,F$1,F$2)-MEDIAN('planning '!$H146,F$1,F$2)))-'planning '!AA146</f>
        <v>0</v>
      </c>
      <c r="G145" s="237"/>
      <c r="H145" s="235">
        <f>IF(OR('planning '!$H146="",'planning '!$J146=""),0,IF('planning '!$J146&gt;'planning '!$H146,MEDIAN('planning '!$J146,H$2,H$1)-MEDIAN('planning '!$H146,H$2,H$1),+('planning '!$J146&lt;'planning '!$H146)*(H$2-H$1)+MEDIAN('planning '!$J146,H$1,H$2)-MEDIAN('planning '!$H146,H$1,H$2)))</f>
        <v>0</v>
      </c>
      <c r="I145" s="237"/>
      <c r="J145" s="234">
        <f>IF(OR('planning '!$H146="",'planning '!$J146=""),0,IF('planning '!$J146&gt;'planning '!$H146,MEDIAN('planning '!$J146,J$2,J$1)-MEDIAN('planning '!$H146,J$2,J$1),+('planning '!$J146&lt;'planning '!$H146)*(J$2-J$1)+MEDIAN('planning '!$J146,J$1,J$2)-MEDIAN('planning '!$H146,J$1,J$2)))</f>
        <v>0.37152777777777773</v>
      </c>
      <c r="K145" s="237"/>
      <c r="M145" s="17"/>
      <c r="N145" s="263" t="s">
        <v>117</v>
      </c>
      <c r="O145" s="263" t="s">
        <v>115</v>
      </c>
      <c r="P145" s="263" t="s">
        <v>116</v>
      </c>
      <c r="Q145" s="243" t="s">
        <v>118</v>
      </c>
    </row>
    <row r="146" spans="2:17" x14ac:dyDescent="0.25">
      <c r="B146" s="231" t="str">
        <f>'planning '!F147</f>
        <v>travail</v>
      </c>
      <c r="C146" s="232">
        <f>C145+1</f>
        <v>43930</v>
      </c>
      <c r="D146" s="233"/>
      <c r="E146" s="240"/>
      <c r="F146" s="235">
        <f>IF(OR('planning '!$H147="",'planning '!$J147=""),0,IF('planning '!$J147&gt;'planning '!$H147,MEDIAN('planning '!$J147,F$2,F$1)-MEDIAN('planning '!$H147,F$2,F$1),+('planning '!$J147&lt;'planning '!$H147)*(F$2-F$1)+MEDIAN('planning '!$J147,F$1,F$2)-MEDIAN('planning '!$H147,F$1,F$2)))-'planning '!AA147</f>
        <v>9.7222222222222099E-2</v>
      </c>
      <c r="G146" s="237" t="s">
        <v>21</v>
      </c>
      <c r="H146" s="235">
        <f>IF(OR('planning '!$H147="",'planning '!$J147=""),0,IF('planning '!$J147&gt;'planning '!$H147,MEDIAN('planning '!$J147,H$2,H$1)-MEDIAN('planning '!$H147,H$2,H$1),+('planning '!$J147&lt;'planning '!$H147)*(H$2-H$1)+MEDIAN('planning '!$J147,H$1,H$2)-MEDIAN('planning '!$H147,H$1,H$2)))</f>
        <v>0</v>
      </c>
      <c r="I146" s="237"/>
      <c r="J146" s="234">
        <f>IF(OR('planning '!$H147="",'planning '!$J147=""),0,IF('planning '!$J147&gt;'planning '!$H147,MEDIAN('planning '!$J147,J$2,J$1)-MEDIAN('planning '!$H147,J$2,J$1),+('planning '!$J147&lt;'planning '!$H147)*(J$2-J$1)+MEDIAN('planning '!$J147,J$1,J$2)-MEDIAN('planning '!$H147,J$1,J$2)))</f>
        <v>0.49305555555555547</v>
      </c>
      <c r="K146" s="237"/>
      <c r="M146" s="231" t="s">
        <v>111</v>
      </c>
      <c r="N146" s="261">
        <f t="shared" ref="N146:Q147" ca="1" si="28">SUMIF(OFFSET($C144:$C151,0,MATCH(N$10,$B$5:$H$5,0)-1,7,1),$K147,OFFSET($B144:$B150,0,MATCH(N$10,$B$5:$H$5,0)-1,7,1))</f>
        <v>0</v>
      </c>
      <c r="O146" s="261">
        <f t="shared" ca="1" si="28"/>
        <v>0</v>
      </c>
      <c r="P146" s="261">
        <f t="shared" ca="1" si="28"/>
        <v>0</v>
      </c>
      <c r="Q146" s="261">
        <f t="shared" ca="1" si="28"/>
        <v>0</v>
      </c>
    </row>
    <row r="147" spans="2:17" x14ac:dyDescent="0.25">
      <c r="B147" s="231" t="str">
        <f>'planning '!F148</f>
        <v>autorisation d'absence</v>
      </c>
      <c r="C147" s="232">
        <f t="shared" ref="C147:C150" si="29">C146+1</f>
        <v>43931</v>
      </c>
      <c r="D147" s="233"/>
      <c r="E147" s="240"/>
      <c r="F147" s="235">
        <f>IF(OR('planning '!$H148="",'planning '!$J148=""),0,IF('planning '!$J148&gt;'planning '!$H148,MEDIAN('planning '!$J148,F$2,F$1)-MEDIAN('planning '!$H148,F$2,F$1),+('planning '!$J148&lt;'planning '!$H148)*(F$2-F$1)+MEDIAN('planning '!$J148,F$1,F$2)-MEDIAN('planning '!$H148,F$1,F$2)))-'planning '!AA148</f>
        <v>0</v>
      </c>
      <c r="G147" s="237"/>
      <c r="H147" s="235">
        <f>IF(OR('planning '!$H148="",'planning '!$J148=""),0,IF('planning '!$J148&gt;'planning '!$H148,MEDIAN('planning '!$J148,H$2,H$1)-MEDIAN('planning '!$H148,H$2,H$1),+('planning '!$J148&lt;'planning '!$H148)*(H$2-H$1)+MEDIAN('planning '!$J148,H$1,H$2)-MEDIAN('planning '!$H148,H$1,H$2)))</f>
        <v>0</v>
      </c>
      <c r="I147" s="237"/>
      <c r="J147" s="234">
        <f>IF(OR('planning '!$H148="",'planning '!$J148=""),0,IF('planning '!$J148&gt;'planning '!$H148,MEDIAN('planning '!$J148,J$2,J$1)-MEDIAN('planning '!$H148,J$2,J$1),+('planning '!$J148&lt;'planning '!$H148)*(J$2-J$1)+MEDIAN('planning '!$J148,J$1,J$2)-MEDIAN('planning '!$H148,J$1,J$2)))</f>
        <v>0</v>
      </c>
      <c r="K147" s="237"/>
      <c r="M147" s="231" t="s">
        <v>21</v>
      </c>
      <c r="N147" s="261">
        <f t="shared" ca="1" si="28"/>
        <v>0</v>
      </c>
      <c r="O147" s="261">
        <f t="shared" ca="1" si="28"/>
        <v>0</v>
      </c>
      <c r="P147" s="261">
        <f t="shared" ca="1" si="28"/>
        <v>0</v>
      </c>
      <c r="Q147" s="261">
        <f t="shared" ca="1" si="28"/>
        <v>0</v>
      </c>
    </row>
    <row r="148" spans="2:17" x14ac:dyDescent="0.25">
      <c r="B148" s="231" t="str">
        <f>'planning '!F149</f>
        <v>travail</v>
      </c>
      <c r="C148" s="232">
        <f t="shared" si="29"/>
        <v>43932</v>
      </c>
      <c r="D148" s="233"/>
      <c r="E148" s="240"/>
      <c r="F148" s="235">
        <f>IF(OR('planning '!$H149="",'planning '!$J149=""),0,IF('planning '!$J149&gt;'planning '!$H149,MEDIAN('planning '!$J149,F$2,F$1)-MEDIAN('planning '!$H149,F$2,F$1),+('planning '!$J149&lt;'planning '!$H149)*(F$2-F$1)+MEDIAN('planning '!$J149,F$1,F$2)-MEDIAN('planning '!$H149,F$1,F$2)))-'planning '!AA149</f>
        <v>0</v>
      </c>
      <c r="G148" s="237"/>
      <c r="H148" s="235">
        <f>IF(OR('planning '!$H149="",'planning '!$J149=""),0,IF('planning '!$J149&gt;'planning '!$H149,MEDIAN('planning '!$J149,H$2,H$1)-MEDIAN('planning '!$H149,H$2,H$1),+('planning '!$J149&lt;'planning '!$H149)*(H$2-H$1)+MEDIAN('planning '!$J149,H$1,H$2)-MEDIAN('planning '!$H149,H$1,H$2)))</f>
        <v>0</v>
      </c>
      <c r="I148" s="237"/>
      <c r="J148" s="234">
        <f>IF(OR('planning '!$H149="",'planning '!$J149=""),0,IF('planning '!$J149&gt;'planning '!$H149,MEDIAN('planning '!$J149,J$2,J$1)-MEDIAN('planning '!$H149,J$2,J$1),+('planning '!$J149&lt;'planning '!$H149)*(J$2-J$1)+MEDIAN('planning '!$J149,J$1,J$2)-MEDIAN('planning '!$H149,J$1,J$2)))</f>
        <v>0.3611111111111111</v>
      </c>
      <c r="K148" s="237"/>
      <c r="M148" s="17"/>
      <c r="N148" s="17"/>
      <c r="O148" s="17"/>
      <c r="P148" s="17"/>
      <c r="Q148" s="17"/>
    </row>
    <row r="149" spans="2:17" x14ac:dyDescent="0.25">
      <c r="B149" s="231" t="str">
        <f>'planning '!F150</f>
        <v>off</v>
      </c>
      <c r="C149" s="232">
        <f t="shared" si="29"/>
        <v>43933</v>
      </c>
      <c r="D149" s="233">
        <f>IF(OR('planning '!$H150="",'planning '!$J150=""),0,IF('planning '!$J150&gt;'planning '!$H150,MEDIAN('planning '!$J150,D$2,D$1)-MEDIAN('planning '!$H150,D$2,D$1),+('planning '!$J150&lt;'planning '!$H150)*(D$2-D$1)+MEDIAN('planning '!$J150,D$1,D$2)-MEDIAN('planning '!$H150,D$1,D$2)))-'planning '!V150</f>
        <v>0</v>
      </c>
      <c r="E149" s="240"/>
      <c r="F149" s="235">
        <f>IF(OR('planning '!$H150="",'planning '!$J150=""),0,IF('planning '!$J150&gt;'planning '!$H150,MEDIAN('planning '!$J150,F$2,F$1)-MEDIAN('planning '!$H150,F$2,F$1),+('planning '!$J150&lt;'planning '!$H150)*(F$2-F$1)+MEDIAN('planning '!$J150,F$1,F$2)-MEDIAN('planning '!$H150,F$1,F$2)))-'planning '!AA150</f>
        <v>0</v>
      </c>
      <c r="G149" s="237"/>
      <c r="H149" s="235">
        <f>IF(OR('planning '!$H150="",'planning '!$J150=""),0,IF('planning '!$J150&gt;'planning '!$H150,MEDIAN('planning '!$J150,H$2,H$1)-MEDIAN('planning '!$H150,H$2,H$1),+('planning '!$J150&lt;'planning '!$H150)*(H$2-H$1)+MEDIAN('planning '!$J150,H$1,H$2)-MEDIAN('planning '!$H150,H$1,H$2)))</f>
        <v>0</v>
      </c>
      <c r="I149" s="237"/>
      <c r="J149" s="234">
        <f>IF(OR('planning '!$H150="",'planning '!$J150=""),0,IF('planning '!$J150&gt;'planning '!$H150,MEDIAN('planning '!$J150,J$2,J$1)-MEDIAN('planning '!$H150,J$2,J$1),+('planning '!$J150&lt;'planning '!$H150)*(J$2-J$1)+MEDIAN('planning '!$J150,J$1,J$2)-MEDIAN('planning '!$H150,J$1,J$2)))</f>
        <v>0</v>
      </c>
      <c r="K149" s="237"/>
      <c r="M149" s="17"/>
      <c r="N149" s="17"/>
      <c r="O149" s="17"/>
      <c r="P149" s="17"/>
      <c r="Q149" s="17"/>
    </row>
    <row r="150" spans="2:17" ht="15.75" thickBot="1" x14ac:dyDescent="0.3">
      <c r="B150" s="231" t="str">
        <f>'planning '!F151</f>
        <v>off</v>
      </c>
      <c r="C150" s="232">
        <f t="shared" si="29"/>
        <v>43934</v>
      </c>
      <c r="D150" s="233">
        <f>IF(OR('planning '!$H151="",'planning '!$J151=""),0,IF('planning '!$J151&gt;'planning '!$H151,MEDIAN('planning '!$J151,D$2,D$1)-MEDIAN('planning '!$H151,D$2,D$1),+('planning '!$J151&lt;'planning '!$H151)*(D$2-D$1)+MEDIAN('planning '!$J151,D$1,D$2)-MEDIAN('planning '!$H151,D$1,D$2)))-'planning '!V151</f>
        <v>0</v>
      </c>
      <c r="E150" s="241"/>
      <c r="F150" s="235">
        <f>IF(OR('planning '!$H151="",'planning '!$J151=""),0,IF('planning '!$J151&gt;'planning '!$H151,MEDIAN('planning '!$J151,F$2,F$1)-MEDIAN('planning '!$H151,F$2,F$1),+('planning '!$J151&lt;'planning '!$H151)*(F$2-F$1)+MEDIAN('planning '!$J151,F$1,F$2)-MEDIAN('planning '!$H151,F$1,F$2)))-'planning '!AA151</f>
        <v>0</v>
      </c>
      <c r="G150" s="238"/>
      <c r="H150" s="235">
        <f>IF(OR('planning '!$H151="",'planning '!$J151=""),0,IF('planning '!$J151&gt;'planning '!$H151,MEDIAN('planning '!$J151,H$2,H$1)-MEDIAN('planning '!$H151,H$2,H$1),+('planning '!$J151&lt;'planning '!$H151)*(H$2-H$1)+MEDIAN('planning '!$J151,H$1,H$2)-MEDIAN('planning '!$H151,H$1,H$2)))</f>
        <v>0</v>
      </c>
      <c r="I150" s="238"/>
      <c r="J150" s="234">
        <f>IF(OR('planning '!$H151="",'planning '!$J151=""),0,IF('planning '!$J151&gt;'planning '!$H151,MEDIAN('planning '!$J151,J$2,J$1)-MEDIAN('planning '!$H151,J$2,J$1),+('planning '!$J151&lt;'planning '!$H151)*(J$2-J$1)+MEDIAN('planning '!$J151,J$1,J$2)-MEDIAN('planning '!$H151,J$1,J$2)))</f>
        <v>0</v>
      </c>
      <c r="K150" s="238"/>
      <c r="M150" s="17"/>
      <c r="N150" s="17"/>
      <c r="O150" s="17"/>
      <c r="P150" s="17"/>
      <c r="Q150" s="17"/>
    </row>
    <row r="151" spans="2:17" x14ac:dyDescent="0.25">
      <c r="M151" s="17"/>
      <c r="N151" s="17"/>
      <c r="O151" s="17"/>
      <c r="P151" s="17"/>
      <c r="Q151" s="17"/>
    </row>
    <row r="152" spans="2:17" x14ac:dyDescent="0.25">
      <c r="M152" s="17"/>
      <c r="N152" s="17"/>
      <c r="O152" s="17"/>
      <c r="P152" s="17"/>
      <c r="Q152" s="17"/>
    </row>
    <row r="153" spans="2:17" ht="15.75" thickBot="1" x14ac:dyDescent="0.3">
      <c r="M153" s="17"/>
      <c r="N153" s="17"/>
      <c r="O153" s="17"/>
      <c r="P153" s="17"/>
      <c r="Q153" s="17"/>
    </row>
    <row r="154" spans="2:17" x14ac:dyDescent="0.25">
      <c r="B154" s="231" t="str">
        <f>'planning '!F155</f>
        <v>rtt</v>
      </c>
      <c r="C154" s="232">
        <f>'planning '!E155</f>
        <v>43935</v>
      </c>
      <c r="D154" s="233"/>
      <c r="E154" s="239"/>
      <c r="F154" s="235">
        <f>IF(OR('planning '!$H155="",'planning '!$J155=""),0,IF('planning '!$J155&gt;'planning '!$H155,MEDIAN('planning '!$J155,F$2,F$1)-MEDIAN('planning '!$H155,F$2,F$1),+('planning '!$J155&lt;'planning '!$H155)*(F$2-F$1)+MEDIAN('planning '!$J155,F$1,F$2)-MEDIAN('planning '!$H155,F$1,F$2)))-'planning '!AA155</f>
        <v>0</v>
      </c>
      <c r="G154" s="236"/>
      <c r="H154" s="235">
        <f>IF(OR('planning '!$H155="",'planning '!$J155=""),0,IF('planning '!$J155&gt;'planning '!$H155,MEDIAN('planning '!$J155,H$2,H$1)-MEDIAN('planning '!$H155,H$2,H$1),+('planning '!$J155&lt;'planning '!$H155)*(H$2-H$1)+MEDIAN('planning '!$J155,H$1,H$2)-MEDIAN('planning '!$H155,H$1,H$2)))</f>
        <v>0</v>
      </c>
      <c r="I154" s="236"/>
      <c r="J154" s="234">
        <f>IF(OR('planning '!$H155="",'planning '!$J155=""),0,IF('planning '!$J155&gt;'planning '!$H155,MEDIAN('planning '!$J155,J$2,J$1)-MEDIAN('planning '!$H155,J$2,J$1),+('planning '!$J155&lt;'planning '!$H155)*(J$2-J$1)+MEDIAN('planning '!$J155,J$1,J$2)-MEDIAN('planning '!$H155,J$1,J$2)))</f>
        <v>0</v>
      </c>
      <c r="K154" s="236"/>
      <c r="M154" s="17"/>
      <c r="N154" s="264"/>
      <c r="O154" s="265" t="s">
        <v>114</v>
      </c>
      <c r="P154" s="266"/>
      <c r="Q154" s="17"/>
    </row>
    <row r="155" spans="2:17" x14ac:dyDescent="0.25">
      <c r="B155" s="231" t="str">
        <f>'planning '!F156</f>
        <v>rtt</v>
      </c>
      <c r="C155" s="232">
        <f>C154+1</f>
        <v>43936</v>
      </c>
      <c r="D155" s="233"/>
      <c r="E155" s="240"/>
      <c r="F155" s="235">
        <f>IF(OR('planning '!$H156="",'planning '!$J156=""),0,IF('planning '!$J156&gt;'planning '!$H156,MEDIAN('planning '!$J156,F$2,F$1)-MEDIAN('planning '!$H156,F$2,F$1),+('planning '!$J156&lt;'planning '!$H156)*(F$2-F$1)+MEDIAN('planning '!$J156,F$1,F$2)-MEDIAN('planning '!$H156,F$1,F$2)))-'planning '!AA156</f>
        <v>0</v>
      </c>
      <c r="G155" s="237"/>
      <c r="H155" s="235">
        <f>IF(OR('planning '!$H156="",'planning '!$J156=""),0,IF('planning '!$J156&gt;'planning '!$H156,MEDIAN('planning '!$J156,H$2,H$1)-MEDIAN('planning '!$H156,H$2,H$1),+('planning '!$J156&lt;'planning '!$H156)*(H$2-H$1)+MEDIAN('planning '!$J156,H$1,H$2)-MEDIAN('planning '!$H156,H$1,H$2)))</f>
        <v>0</v>
      </c>
      <c r="I155" s="237"/>
      <c r="J155" s="234">
        <f>IF(OR('planning '!$H156="",'planning '!$J156=""),0,IF('planning '!$J156&gt;'planning '!$H156,MEDIAN('planning '!$J156,J$2,J$1)-MEDIAN('planning '!$H156,J$2,J$1),+('planning '!$J156&lt;'planning '!$H156)*(J$2-J$1)+MEDIAN('planning '!$J156,J$1,J$2)-MEDIAN('planning '!$H156,J$1,J$2)))</f>
        <v>0</v>
      </c>
      <c r="K155" s="237"/>
      <c r="M155" s="17"/>
      <c r="N155" s="263" t="s">
        <v>117</v>
      </c>
      <c r="O155" s="263" t="s">
        <v>115</v>
      </c>
      <c r="P155" s="263" t="s">
        <v>116</v>
      </c>
      <c r="Q155" s="243" t="s">
        <v>118</v>
      </c>
    </row>
    <row r="156" spans="2:17" x14ac:dyDescent="0.25">
      <c r="B156" s="231" t="str">
        <f>'planning '!F157</f>
        <v>rtt</v>
      </c>
      <c r="C156" s="232">
        <f>C155+1</f>
        <v>43937</v>
      </c>
      <c r="D156" s="233"/>
      <c r="E156" s="240"/>
      <c r="F156" s="235">
        <f>IF(OR('planning '!$H157="",'planning '!$J157=""),0,IF('planning '!$J157&gt;'planning '!$H157,MEDIAN('planning '!$J157,F$2,F$1)-MEDIAN('planning '!$H157,F$2,F$1),+('planning '!$J157&lt;'planning '!$H157)*(F$2-F$1)+MEDIAN('planning '!$J157,F$1,F$2)-MEDIAN('planning '!$H157,F$1,F$2)))-'planning '!AA157</f>
        <v>0</v>
      </c>
      <c r="G156" s="237"/>
      <c r="H156" s="235">
        <f>IF(OR('planning '!$H157="",'planning '!$J157=""),0,IF('planning '!$J157&gt;'planning '!$H157,MEDIAN('planning '!$J157,H$2,H$1)-MEDIAN('planning '!$H157,H$2,H$1),+('planning '!$J157&lt;'planning '!$H157)*(H$2-H$1)+MEDIAN('planning '!$J157,H$1,H$2)-MEDIAN('planning '!$H157,H$1,H$2)))</f>
        <v>0</v>
      </c>
      <c r="I156" s="237"/>
      <c r="J156" s="234">
        <f>IF(OR('planning '!$H157="",'planning '!$J157=""),0,IF('planning '!$J157&gt;'planning '!$H157,MEDIAN('planning '!$J157,J$2,J$1)-MEDIAN('planning '!$H157,J$2,J$1),+('planning '!$J157&lt;'planning '!$H157)*(J$2-J$1)+MEDIAN('planning '!$J157,J$1,J$2)-MEDIAN('planning '!$H157,J$1,J$2)))</f>
        <v>0</v>
      </c>
      <c r="K156" s="237"/>
      <c r="M156" s="231" t="s">
        <v>111</v>
      </c>
      <c r="N156" s="261">
        <f t="shared" ref="N156:Q157" ca="1" si="30">SUMIF(OFFSET($C154:$C161,0,MATCH(N$10,$B$5:$H$5,0)-1,7,1),$K157,OFFSET($B154:$B160,0,MATCH(N$10,$B$5:$H$5,0)-1,7,1))</f>
        <v>0</v>
      </c>
      <c r="O156" s="261">
        <f t="shared" ca="1" si="30"/>
        <v>0</v>
      </c>
      <c r="P156" s="261">
        <f t="shared" ca="1" si="30"/>
        <v>0</v>
      </c>
      <c r="Q156" s="261">
        <f t="shared" ca="1" si="30"/>
        <v>0</v>
      </c>
    </row>
    <row r="157" spans="2:17" x14ac:dyDescent="0.25">
      <c r="B157" s="231" t="str">
        <f>'planning '!F158</f>
        <v>rtt</v>
      </c>
      <c r="C157" s="232">
        <f t="shared" ref="C157:C160" si="31">C156+1</f>
        <v>43938</v>
      </c>
      <c r="D157" s="233"/>
      <c r="E157" s="240"/>
      <c r="F157" s="235">
        <f>IF(OR('planning '!$H158="",'planning '!$J158=""),0,IF('planning '!$J158&gt;'planning '!$H158,MEDIAN('planning '!$J158,F$2,F$1)-MEDIAN('planning '!$H158,F$2,F$1),+('planning '!$J158&lt;'planning '!$H158)*(F$2-F$1)+MEDIAN('planning '!$J158,F$1,F$2)-MEDIAN('planning '!$H158,F$1,F$2)))-'planning '!AA158</f>
        <v>0</v>
      </c>
      <c r="G157" s="237"/>
      <c r="H157" s="235">
        <f>IF(OR('planning '!$H158="",'planning '!$J158=""),0,IF('planning '!$J158&gt;'planning '!$H158,MEDIAN('planning '!$J158,H$2,H$1)-MEDIAN('planning '!$H158,H$2,H$1),+('planning '!$J158&lt;'planning '!$H158)*(H$2-H$1)+MEDIAN('planning '!$J158,H$1,H$2)-MEDIAN('planning '!$H158,H$1,H$2)))</f>
        <v>0</v>
      </c>
      <c r="I157" s="237"/>
      <c r="J157" s="234">
        <f>IF(OR('planning '!$H158="",'planning '!$J158=""),0,IF('planning '!$J158&gt;'planning '!$H158,MEDIAN('planning '!$J158,J$2,J$1)-MEDIAN('planning '!$H158,J$2,J$1),+('planning '!$J158&lt;'planning '!$H158)*(J$2-J$1)+MEDIAN('planning '!$J158,J$1,J$2)-MEDIAN('planning '!$H158,J$1,J$2)))</f>
        <v>0</v>
      </c>
      <c r="K157" s="237"/>
      <c r="M157" s="231" t="s">
        <v>21</v>
      </c>
      <c r="N157" s="261">
        <f t="shared" ca="1" si="30"/>
        <v>0</v>
      </c>
      <c r="O157" s="261">
        <f t="shared" ca="1" si="30"/>
        <v>0</v>
      </c>
      <c r="P157" s="261">
        <f t="shared" ca="1" si="30"/>
        <v>0</v>
      </c>
      <c r="Q157" s="261">
        <f t="shared" ca="1" si="30"/>
        <v>0</v>
      </c>
    </row>
    <row r="158" spans="2:17" x14ac:dyDescent="0.25">
      <c r="B158" s="231" t="str">
        <f>'planning '!F159</f>
        <v>rtt</v>
      </c>
      <c r="C158" s="232">
        <f t="shared" si="31"/>
        <v>43939</v>
      </c>
      <c r="D158" s="233"/>
      <c r="E158" s="240"/>
      <c r="F158" s="235">
        <f>IF(OR('planning '!$H159="",'planning '!$J159=""),0,IF('planning '!$J159&gt;'planning '!$H159,MEDIAN('planning '!$J159,F$2,F$1)-MEDIAN('planning '!$H159,F$2,F$1),+('planning '!$J159&lt;'planning '!$H159)*(F$2-F$1)+MEDIAN('planning '!$J159,F$1,F$2)-MEDIAN('planning '!$H159,F$1,F$2)))-'planning '!AA159</f>
        <v>0</v>
      </c>
      <c r="G158" s="237"/>
      <c r="H158" s="235">
        <f>IF(OR('planning '!$H159="",'planning '!$J159=""),0,IF('planning '!$J159&gt;'planning '!$H159,MEDIAN('planning '!$J159,H$2,H$1)-MEDIAN('planning '!$H159,H$2,H$1),+('planning '!$J159&lt;'planning '!$H159)*(H$2-H$1)+MEDIAN('planning '!$J159,H$1,H$2)-MEDIAN('planning '!$H159,H$1,H$2)))</f>
        <v>0</v>
      </c>
      <c r="I158" s="237"/>
      <c r="J158" s="234">
        <f>IF(OR('planning '!$H159="",'planning '!$J159=""),0,IF('planning '!$J159&gt;'planning '!$H159,MEDIAN('planning '!$J159,J$2,J$1)-MEDIAN('planning '!$H159,J$2,J$1),+('planning '!$J159&lt;'planning '!$H159)*(J$2-J$1)+MEDIAN('planning '!$J159,J$1,J$2)-MEDIAN('planning '!$H159,J$1,J$2)))</f>
        <v>0</v>
      </c>
      <c r="K158" s="237"/>
      <c r="M158" s="17"/>
      <c r="N158" s="17"/>
      <c r="O158" s="17"/>
      <c r="P158" s="17"/>
      <c r="Q158" s="17"/>
    </row>
    <row r="159" spans="2:17" x14ac:dyDescent="0.25">
      <c r="B159" s="231" t="str">
        <f>'planning '!F160</f>
        <v>off</v>
      </c>
      <c r="C159" s="232">
        <f t="shared" si="31"/>
        <v>43940</v>
      </c>
      <c r="D159" s="233">
        <f>IF(OR('planning '!$H160="",'planning '!$J160=""),0,IF('planning '!$J160&gt;'planning '!$H160,MEDIAN('planning '!$J160,D$2,D$1)-MEDIAN('planning '!$H160,D$2,D$1),+('planning '!$J160&lt;'planning '!$H160)*(D$2-D$1)+MEDIAN('planning '!$J160,D$1,D$2)-MEDIAN('planning '!$H160,D$1,D$2)))-'planning '!V160</f>
        <v>0</v>
      </c>
      <c r="E159" s="240"/>
      <c r="F159" s="235">
        <f>IF(OR('planning '!$H160="",'planning '!$J160=""),0,IF('planning '!$J160&gt;'planning '!$H160,MEDIAN('planning '!$J160,F$2,F$1)-MEDIAN('planning '!$H160,F$2,F$1),+('planning '!$J160&lt;'planning '!$H160)*(F$2-F$1)+MEDIAN('planning '!$J160,F$1,F$2)-MEDIAN('planning '!$H160,F$1,F$2)))-'planning '!AA160</f>
        <v>0</v>
      </c>
      <c r="G159" s="237"/>
      <c r="H159" s="235">
        <f>IF(OR('planning '!$H160="",'planning '!$J160=""),0,IF('planning '!$J160&gt;'planning '!$H160,MEDIAN('planning '!$J160,H$2,H$1)-MEDIAN('planning '!$H160,H$2,H$1),+('planning '!$J160&lt;'planning '!$H160)*(H$2-H$1)+MEDIAN('planning '!$J160,H$1,H$2)-MEDIAN('planning '!$H160,H$1,H$2)))</f>
        <v>0</v>
      </c>
      <c r="I159" s="237"/>
      <c r="J159" s="234">
        <f>IF(OR('planning '!$H160="",'planning '!$J160=""),0,IF('planning '!$J160&gt;'planning '!$H160,MEDIAN('planning '!$J160,J$2,J$1)-MEDIAN('planning '!$H160,J$2,J$1),+('planning '!$J160&lt;'planning '!$H160)*(J$2-J$1)+MEDIAN('planning '!$J160,J$1,J$2)-MEDIAN('planning '!$H160,J$1,J$2)))</f>
        <v>0</v>
      </c>
      <c r="K159" s="237"/>
      <c r="M159" s="17"/>
      <c r="N159" s="17"/>
      <c r="O159" s="17"/>
      <c r="P159" s="17"/>
      <c r="Q159" s="17"/>
    </row>
    <row r="160" spans="2:17" ht="15.75" thickBot="1" x14ac:dyDescent="0.3">
      <c r="B160" s="231" t="str">
        <f>'planning '!F161</f>
        <v>off</v>
      </c>
      <c r="C160" s="232">
        <f t="shared" si="31"/>
        <v>43941</v>
      </c>
      <c r="D160" s="233">
        <f>IF(OR('planning '!$H161="",'planning '!$J161=""),0,IF('planning '!$J161&gt;'planning '!$H161,MEDIAN('planning '!$J161,D$2,D$1)-MEDIAN('planning '!$H161,D$2,D$1),+('planning '!$J161&lt;'planning '!$H161)*(D$2-D$1)+MEDIAN('planning '!$J161,D$1,D$2)-MEDIAN('planning '!$H161,D$1,D$2)))-'planning '!V161</f>
        <v>0</v>
      </c>
      <c r="E160" s="241"/>
      <c r="F160" s="235">
        <f>IF(OR('planning '!$H161="",'planning '!$J161=""),0,IF('planning '!$J161&gt;'planning '!$H161,MEDIAN('planning '!$J161,F$2,F$1)-MEDIAN('planning '!$H161,F$2,F$1),+('planning '!$J161&lt;'planning '!$H161)*(F$2-F$1)+MEDIAN('planning '!$J161,F$1,F$2)-MEDIAN('planning '!$H161,F$1,F$2)))-'planning '!AA161</f>
        <v>0</v>
      </c>
      <c r="G160" s="238"/>
      <c r="H160" s="235">
        <f>IF(OR('planning '!$H161="",'planning '!$J161=""),0,IF('planning '!$J161&gt;'planning '!$H161,MEDIAN('planning '!$J161,H$2,H$1)-MEDIAN('planning '!$H161,H$2,H$1),+('planning '!$J161&lt;'planning '!$H161)*(H$2-H$1)+MEDIAN('planning '!$J161,H$1,H$2)-MEDIAN('planning '!$H161,H$1,H$2)))</f>
        <v>0</v>
      </c>
      <c r="I160" s="238"/>
      <c r="J160" s="234">
        <f>IF(OR('planning '!$H161="",'planning '!$J161=""),0,IF('planning '!$J161&gt;'planning '!$H161,MEDIAN('planning '!$J161,J$2,J$1)-MEDIAN('planning '!$H161,J$2,J$1),+('planning '!$J161&lt;'planning '!$H161)*(J$2-J$1)+MEDIAN('planning '!$J161,J$1,J$2)-MEDIAN('planning '!$H161,J$1,J$2)))</f>
        <v>0</v>
      </c>
      <c r="K160" s="238"/>
      <c r="M160" s="17"/>
      <c r="N160" s="17"/>
      <c r="O160" s="17"/>
      <c r="P160" s="17"/>
      <c r="Q160" s="17"/>
    </row>
    <row r="161" spans="2:17" x14ac:dyDescent="0.25">
      <c r="M161" s="17"/>
      <c r="N161" s="17"/>
      <c r="O161" s="17"/>
      <c r="P161" s="17"/>
      <c r="Q161" s="17"/>
    </row>
    <row r="162" spans="2:17" x14ac:dyDescent="0.25">
      <c r="M162" s="17"/>
      <c r="N162" s="17"/>
      <c r="O162" s="17"/>
      <c r="P162" s="17"/>
      <c r="Q162" s="17"/>
    </row>
    <row r="163" spans="2:17" ht="15.75" thickBot="1" x14ac:dyDescent="0.3">
      <c r="M163" s="17"/>
      <c r="N163" s="17"/>
      <c r="O163" s="17"/>
      <c r="P163" s="17"/>
      <c r="Q163" s="17"/>
    </row>
    <row r="164" spans="2:17" x14ac:dyDescent="0.25">
      <c r="B164" s="231" t="str">
        <f>'planning '!F165</f>
        <v>travail</v>
      </c>
      <c r="C164" s="232">
        <f>'planning '!E165</f>
        <v>43942</v>
      </c>
      <c r="D164" s="233"/>
      <c r="E164" s="239"/>
      <c r="F164" s="235">
        <f>IF(OR('planning '!$H165="",'planning '!$J165=""),0,IF('planning '!$J165&gt;'planning '!$H165,MEDIAN('planning '!$J165,F$2,F$1)-MEDIAN('planning '!$H165,F$2,F$1),+('planning '!$J165&lt;'planning '!$H165)*(F$2-F$1)+MEDIAN('planning '!$J165,F$1,F$2)-MEDIAN('planning '!$H165,F$1,F$2)))-'planning '!AA165</f>
        <v>0</v>
      </c>
      <c r="G164" s="236"/>
      <c r="H164" s="235">
        <f>IF(OR('planning '!$H165="",'planning '!$J165=""),0,IF('planning '!$J165&gt;'planning '!$H165,MEDIAN('planning '!$J165,H$2,H$1)-MEDIAN('planning '!$H165,H$2,H$1),+('planning '!$J165&lt;'planning '!$H165)*(H$2-H$1)+MEDIAN('planning '!$J165,H$1,H$2)-MEDIAN('planning '!$H165,H$1,H$2)))</f>
        <v>0</v>
      </c>
      <c r="I164" s="236"/>
      <c r="J164" s="234">
        <f>IF(OR('planning '!$H165="",'planning '!$J165=""),0,IF('planning '!$J165&gt;'planning '!$H165,MEDIAN('planning '!$J165,J$2,J$1)-MEDIAN('planning '!$H165,J$2,J$1),+('planning '!$J165&lt;'planning '!$H165)*(J$2-J$1)+MEDIAN('planning '!$J165,J$1,J$2)-MEDIAN('planning '!$H165,J$1,J$2)))</f>
        <v>0.39930555555555547</v>
      </c>
      <c r="K164" s="236"/>
      <c r="M164" s="17"/>
      <c r="N164" s="264"/>
      <c r="O164" s="265" t="s">
        <v>114</v>
      </c>
      <c r="P164" s="266"/>
      <c r="Q164" s="17"/>
    </row>
    <row r="165" spans="2:17" x14ac:dyDescent="0.25">
      <c r="B165" s="231" t="str">
        <f>'planning '!F166</f>
        <v>travail</v>
      </c>
      <c r="C165" s="232">
        <f>C164+1</f>
        <v>43943</v>
      </c>
      <c r="D165" s="233"/>
      <c r="E165" s="240"/>
      <c r="F165" s="235">
        <f>IF(OR('planning '!$H166="",'planning '!$J166=""),0,IF('planning '!$J166&gt;'planning '!$H166,MEDIAN('planning '!$J166,F$2,F$1)-MEDIAN('planning '!$H166,F$2,F$1),+('planning '!$J166&lt;'planning '!$H166)*(F$2-F$1)+MEDIAN('planning '!$J166,F$1,F$2)-MEDIAN('planning '!$H166,F$1,F$2)))-'planning '!AA166</f>
        <v>0</v>
      </c>
      <c r="G165" s="237"/>
      <c r="H165" s="235">
        <f>IF(OR('planning '!$H166="",'planning '!$J166=""),0,IF('planning '!$J166&gt;'planning '!$H166,MEDIAN('planning '!$J166,H$2,H$1)-MEDIAN('planning '!$H166,H$2,H$1),+('planning '!$J166&lt;'planning '!$H166)*(H$2-H$1)+MEDIAN('planning '!$J166,H$1,H$2)-MEDIAN('planning '!$H166,H$1,H$2)))</f>
        <v>0</v>
      </c>
      <c r="I165" s="237"/>
      <c r="J165" s="234">
        <f>IF(OR('planning '!$H166="",'planning '!$J166=""),0,IF('planning '!$J166&gt;'planning '!$H166,MEDIAN('planning '!$J166,J$2,J$1)-MEDIAN('planning '!$H166,J$2,J$1),+('planning '!$J166&lt;'planning '!$H166)*(J$2-J$1)+MEDIAN('planning '!$J166,J$1,J$2)-MEDIAN('planning '!$H166,J$1,J$2)))</f>
        <v>0.39166666666666672</v>
      </c>
      <c r="K165" s="237"/>
      <c r="M165" s="17"/>
      <c r="N165" s="263" t="s">
        <v>117</v>
      </c>
      <c r="O165" s="263" t="s">
        <v>115</v>
      </c>
      <c r="P165" s="263" t="s">
        <v>116</v>
      </c>
      <c r="Q165" s="243" t="s">
        <v>118</v>
      </c>
    </row>
    <row r="166" spans="2:17" x14ac:dyDescent="0.25">
      <c r="B166" s="231" t="str">
        <f>'planning '!F167</f>
        <v>travail</v>
      </c>
      <c r="C166" s="232">
        <f>C165+1</f>
        <v>43944</v>
      </c>
      <c r="D166" s="233"/>
      <c r="E166" s="240"/>
      <c r="F166" s="235">
        <f>IF(OR('planning '!$H167="",'planning '!$J167=""),0,IF('planning '!$J167&gt;'planning '!$H167,MEDIAN('planning '!$J167,F$2,F$1)-MEDIAN('planning '!$H167,F$2,F$1),+('planning '!$J167&lt;'planning '!$H167)*(F$2-F$1)+MEDIAN('planning '!$J167,F$1,F$2)-MEDIAN('planning '!$H167,F$1,F$2)))-'planning '!AA167</f>
        <v>0</v>
      </c>
      <c r="G166" s="237"/>
      <c r="H166" s="235">
        <f>IF(OR('planning '!$H167="",'planning '!$J167=""),0,IF('planning '!$J167&gt;'planning '!$H167,MEDIAN('planning '!$J167,H$2,H$1)-MEDIAN('planning '!$H167,H$2,H$1),+('planning '!$J167&lt;'planning '!$H167)*(H$2-H$1)+MEDIAN('planning '!$J167,H$1,H$2)-MEDIAN('planning '!$H167,H$1,H$2)))</f>
        <v>0</v>
      </c>
      <c r="I166" s="237"/>
      <c r="J166" s="234">
        <f>IF(OR('planning '!$H167="",'planning '!$J167=""),0,IF('planning '!$J167&gt;'planning '!$H167,MEDIAN('planning '!$J167,J$2,J$1)-MEDIAN('planning '!$H167,J$2,J$1),+('planning '!$J167&lt;'planning '!$H167)*(J$2-J$1)+MEDIAN('planning '!$J167,J$1,J$2)-MEDIAN('planning '!$H167,J$1,J$2)))</f>
        <v>0.38263888888888886</v>
      </c>
      <c r="K166" s="237"/>
      <c r="M166" s="231" t="s">
        <v>111</v>
      </c>
      <c r="N166" s="261">
        <f t="shared" ref="N166:Q167" ca="1" si="32">SUMIF(OFFSET($C164:$C171,0,MATCH(N$10,$B$5:$H$5,0)-1,7,1),$K167,OFFSET($B164:$B170,0,MATCH(N$10,$B$5:$H$5,0)-1,7,1))</f>
        <v>0</v>
      </c>
      <c r="O166" s="261">
        <f t="shared" ca="1" si="32"/>
        <v>0</v>
      </c>
      <c r="P166" s="261">
        <f t="shared" ca="1" si="32"/>
        <v>0</v>
      </c>
      <c r="Q166" s="261">
        <f t="shared" ca="1" si="32"/>
        <v>0</v>
      </c>
    </row>
    <row r="167" spans="2:17" x14ac:dyDescent="0.25">
      <c r="B167" s="231" t="str">
        <f>'planning '!F168</f>
        <v>travail</v>
      </c>
      <c r="C167" s="232">
        <f t="shared" ref="C167:C170" si="33">C166+1</f>
        <v>43945</v>
      </c>
      <c r="D167" s="233"/>
      <c r="E167" s="240"/>
      <c r="F167" s="235">
        <f>IF(OR('planning '!$H168="",'planning '!$J168=""),0,IF('planning '!$J168&gt;'planning '!$H168,MEDIAN('planning '!$J168,F$2,F$1)-MEDIAN('planning '!$H168,F$2,F$1),+('planning '!$J168&lt;'planning '!$H168)*(F$2-F$1)+MEDIAN('planning '!$J168,F$1,F$2)-MEDIAN('planning '!$H168,F$1,F$2)))-'planning '!AA168</f>
        <v>0</v>
      </c>
      <c r="G167" s="237"/>
      <c r="H167" s="235">
        <f>IF(OR('planning '!$H168="",'planning '!$J168=""),0,IF('planning '!$J168&gt;'planning '!$H168,MEDIAN('planning '!$J168,H$2,H$1)-MEDIAN('planning '!$H168,H$2,H$1),+('planning '!$J168&lt;'planning '!$H168)*(H$2-H$1)+MEDIAN('planning '!$J168,H$1,H$2)-MEDIAN('planning '!$H168,H$1,H$2)))</f>
        <v>0</v>
      </c>
      <c r="I167" s="237"/>
      <c r="J167" s="234">
        <f>IF(OR('planning '!$H168="",'planning '!$J168=""),0,IF('planning '!$J168&gt;'planning '!$H168,MEDIAN('planning '!$J168,J$2,J$1)-MEDIAN('planning '!$H168,J$2,J$1),+('planning '!$J168&lt;'planning '!$H168)*(J$2-J$1)+MEDIAN('planning '!$J168,J$1,J$2)-MEDIAN('planning '!$H168,J$1,J$2)))</f>
        <v>0.38125000000000003</v>
      </c>
      <c r="K167" s="237"/>
      <c r="M167" s="231" t="s">
        <v>21</v>
      </c>
      <c r="N167" s="261">
        <f t="shared" ca="1" si="32"/>
        <v>0</v>
      </c>
      <c r="O167" s="261">
        <f t="shared" ca="1" si="32"/>
        <v>0</v>
      </c>
      <c r="P167" s="261">
        <f t="shared" ca="1" si="32"/>
        <v>0</v>
      </c>
      <c r="Q167" s="261">
        <f t="shared" ca="1" si="32"/>
        <v>0</v>
      </c>
    </row>
    <row r="168" spans="2:17" x14ac:dyDescent="0.25">
      <c r="B168" s="231" t="str">
        <f>'planning '!F169</f>
        <v>travail</v>
      </c>
      <c r="C168" s="232">
        <f t="shared" si="33"/>
        <v>43946</v>
      </c>
      <c r="D168" s="233"/>
      <c r="E168" s="240"/>
      <c r="F168" s="235">
        <f>IF(OR('planning '!$H169="",'planning '!$J169=""),0,IF('planning '!$J169&gt;'planning '!$H169,MEDIAN('planning '!$J169,F$2,F$1)-MEDIAN('planning '!$H169,F$2,F$1),+('planning '!$J169&lt;'planning '!$H169)*(F$2-F$1)+MEDIAN('planning '!$J169,F$1,F$2)-MEDIAN('planning '!$H169,F$1,F$2)))-'planning '!AA169</f>
        <v>0</v>
      </c>
      <c r="G168" s="237"/>
      <c r="H168" s="235">
        <f>IF(OR('planning '!$H169="",'planning '!$J169=""),0,IF('planning '!$J169&gt;'planning '!$H169,MEDIAN('planning '!$J169,H$2,H$1)-MEDIAN('planning '!$H169,H$2,H$1),+('planning '!$J169&lt;'planning '!$H169)*(H$2-H$1)+MEDIAN('planning '!$J169,H$1,H$2)-MEDIAN('planning '!$H169,H$1,H$2)))</f>
        <v>0</v>
      </c>
      <c r="I168" s="237"/>
      <c r="J168" s="234">
        <f>IF(OR('planning '!$H169="",'planning '!$J169=""),0,IF('planning '!$J169&gt;'planning '!$H169,MEDIAN('planning '!$J169,J$2,J$1)-MEDIAN('planning '!$H169,J$2,J$1),+('planning '!$J169&lt;'planning '!$H169)*(J$2-J$1)+MEDIAN('planning '!$J169,J$1,J$2)-MEDIAN('planning '!$H169,J$1,J$2)))</f>
        <v>0.36041666666666666</v>
      </c>
      <c r="K168" s="237"/>
      <c r="M168" s="17"/>
      <c r="N168" s="17"/>
      <c r="O168" s="17"/>
      <c r="P168" s="17"/>
      <c r="Q168" s="17"/>
    </row>
    <row r="169" spans="2:17" x14ac:dyDescent="0.25">
      <c r="B169" s="231" t="str">
        <f>'planning '!F170</f>
        <v>off</v>
      </c>
      <c r="C169" s="232">
        <f t="shared" si="33"/>
        <v>43947</v>
      </c>
      <c r="D169" s="233">
        <f>IF(OR('planning '!$H170="",'planning '!$J170=""),0,IF('planning '!$J170&gt;'planning '!$H170,MEDIAN('planning '!$J170,D$2,D$1)-MEDIAN('planning '!$H170,D$2,D$1),+('planning '!$J170&lt;'planning '!$H170)*(D$2-D$1)+MEDIAN('planning '!$J170,D$1,D$2)-MEDIAN('planning '!$H170,D$1,D$2)))-'planning '!V170</f>
        <v>0</v>
      </c>
      <c r="E169" s="240"/>
      <c r="F169" s="235">
        <f>IF(OR('planning '!$H170="",'planning '!$J170=""),0,IF('planning '!$J170&gt;'planning '!$H170,MEDIAN('planning '!$J170,F$2,F$1)-MEDIAN('planning '!$H170,F$2,F$1),+('planning '!$J170&lt;'planning '!$H170)*(F$2-F$1)+MEDIAN('planning '!$J170,F$1,F$2)-MEDIAN('planning '!$H170,F$1,F$2)))-'planning '!AA170</f>
        <v>0</v>
      </c>
      <c r="G169" s="237"/>
      <c r="H169" s="235">
        <f>IF(OR('planning '!$H170="",'planning '!$J170=""),0,IF('planning '!$J170&gt;'planning '!$H170,MEDIAN('planning '!$J170,H$2,H$1)-MEDIAN('planning '!$H170,H$2,H$1),+('planning '!$J170&lt;'planning '!$H170)*(H$2-H$1)+MEDIAN('planning '!$J170,H$1,H$2)-MEDIAN('planning '!$H170,H$1,H$2)))</f>
        <v>0</v>
      </c>
      <c r="I169" s="237"/>
      <c r="J169" s="234">
        <f>IF(OR('planning '!$H170="",'planning '!$J170=""),0,IF('planning '!$J170&gt;'planning '!$H170,MEDIAN('planning '!$J170,J$2,J$1)-MEDIAN('planning '!$H170,J$2,J$1),+('planning '!$J170&lt;'planning '!$H170)*(J$2-J$1)+MEDIAN('planning '!$J170,J$1,J$2)-MEDIAN('planning '!$H170,J$1,J$2)))</f>
        <v>0</v>
      </c>
      <c r="K169" s="237"/>
      <c r="M169" s="17"/>
      <c r="N169" s="17"/>
      <c r="O169" s="17"/>
      <c r="P169" s="17"/>
      <c r="Q169" s="17"/>
    </row>
    <row r="170" spans="2:17" ht="15.75" thickBot="1" x14ac:dyDescent="0.3">
      <c r="B170" s="231" t="str">
        <f>'planning '!F171</f>
        <v>off</v>
      </c>
      <c r="C170" s="232">
        <f t="shared" si="33"/>
        <v>43948</v>
      </c>
      <c r="D170" s="233">
        <f>IF(OR('planning '!$H171="",'planning '!$J171=""),0,IF('planning '!$J171&gt;'planning '!$H171,MEDIAN('planning '!$J171,D$2,D$1)-MEDIAN('planning '!$H171,D$2,D$1),+('planning '!$J171&lt;'planning '!$H171)*(D$2-D$1)+MEDIAN('planning '!$J171,D$1,D$2)-MEDIAN('planning '!$H171,D$1,D$2)))-'planning '!V171</f>
        <v>0</v>
      </c>
      <c r="E170" s="241"/>
      <c r="F170" s="235">
        <f>IF(OR('planning '!$H171="",'planning '!$J171=""),0,IF('planning '!$J171&gt;'planning '!$H171,MEDIAN('planning '!$J171,F$2,F$1)-MEDIAN('planning '!$H171,F$2,F$1),+('planning '!$J171&lt;'planning '!$H171)*(F$2-F$1)+MEDIAN('planning '!$J171,F$1,F$2)-MEDIAN('planning '!$H171,F$1,F$2)))-'planning '!AA171</f>
        <v>0</v>
      </c>
      <c r="G170" s="238"/>
      <c r="H170" s="235">
        <f>IF(OR('planning '!$H171="",'planning '!$J171=""),0,IF('planning '!$J171&gt;'planning '!$H171,MEDIAN('planning '!$J171,H$2,H$1)-MEDIAN('planning '!$H171,H$2,H$1),+('planning '!$J171&lt;'planning '!$H171)*(H$2-H$1)+MEDIAN('planning '!$J171,H$1,H$2)-MEDIAN('planning '!$H171,H$1,H$2)))</f>
        <v>0</v>
      </c>
      <c r="I170" s="238"/>
      <c r="J170" s="234">
        <f>IF(OR('planning '!$H171="",'planning '!$J171=""),0,IF('planning '!$J171&gt;'planning '!$H171,MEDIAN('planning '!$J171,J$2,J$1)-MEDIAN('planning '!$H171,J$2,J$1),+('planning '!$J171&lt;'planning '!$H171)*(J$2-J$1)+MEDIAN('planning '!$J171,J$1,J$2)-MEDIAN('planning '!$H171,J$1,J$2)))</f>
        <v>0</v>
      </c>
      <c r="K170" s="238"/>
      <c r="M170" s="17"/>
      <c r="N170" s="17"/>
      <c r="O170" s="17"/>
      <c r="P170" s="17"/>
      <c r="Q170" s="17"/>
    </row>
    <row r="171" spans="2:17" x14ac:dyDescent="0.25">
      <c r="M171" s="17"/>
      <c r="N171" s="17"/>
      <c r="O171" s="17"/>
      <c r="P171" s="17"/>
      <c r="Q171" s="17"/>
    </row>
    <row r="172" spans="2:17" x14ac:dyDescent="0.25">
      <c r="M172" s="17"/>
      <c r="N172" s="17"/>
      <c r="O172" s="17"/>
      <c r="P172" s="17"/>
      <c r="Q172" s="17"/>
    </row>
    <row r="173" spans="2:17" ht="15.75" thickBot="1" x14ac:dyDescent="0.3">
      <c r="M173" s="17"/>
      <c r="N173" s="17"/>
      <c r="O173" s="17"/>
      <c r="P173" s="17"/>
      <c r="Q173" s="17"/>
    </row>
    <row r="174" spans="2:17" x14ac:dyDescent="0.25">
      <c r="B174" s="231" t="str">
        <f>'planning '!F175</f>
        <v>travail</v>
      </c>
      <c r="C174" s="232">
        <f>'planning '!E175</f>
        <v>43949</v>
      </c>
      <c r="D174" s="233"/>
      <c r="E174" s="239"/>
      <c r="F174" s="235">
        <f>IF(OR('planning '!$H175="",'planning '!$J175=""),0,IF('planning '!$J175&gt;'planning '!$H175,MEDIAN('planning '!$J175,F$2,F$1)-MEDIAN('planning '!$H175,F$2,F$1),+('planning '!$J175&lt;'planning '!$H175)*(F$2-F$1)+MEDIAN('planning '!$J175,F$1,F$2)-MEDIAN('planning '!$H175,F$1,F$2)))-'planning '!AA175</f>
        <v>0</v>
      </c>
      <c r="G174" s="236"/>
      <c r="H174" s="235">
        <f>IF(OR('planning '!$H175="",'planning '!$J175=""),0,IF('planning '!$J175&gt;'planning '!$H175,MEDIAN('planning '!$J175,H$2,H$1)-MEDIAN('planning '!$H175,H$2,H$1),+('planning '!$J175&lt;'planning '!$H175)*(H$2-H$1)+MEDIAN('planning '!$J175,H$1,H$2)-MEDIAN('planning '!$H175,H$1,H$2)))</f>
        <v>0</v>
      </c>
      <c r="I174" s="236"/>
      <c r="J174" s="234">
        <f>IF(OR('planning '!$H175="",'planning '!$J175=""),0,IF('planning '!$J175&gt;'planning '!$H175,MEDIAN('planning '!$J175,J$2,J$1)-MEDIAN('planning '!$H175,J$2,J$1),+('planning '!$J175&lt;'planning '!$H175)*(J$2-J$1)+MEDIAN('planning '!$J175,J$1,J$2)-MEDIAN('planning '!$H175,J$1,J$2)))</f>
        <v>0.34166666666666667</v>
      </c>
      <c r="K174" s="236"/>
      <c r="M174" s="17"/>
      <c r="N174" s="264"/>
      <c r="O174" s="265" t="s">
        <v>114</v>
      </c>
      <c r="P174" s="266"/>
      <c r="Q174" s="17"/>
    </row>
    <row r="175" spans="2:17" x14ac:dyDescent="0.25">
      <c r="B175" s="231" t="str">
        <f>'planning '!F176</f>
        <v>travail</v>
      </c>
      <c r="C175" s="232">
        <f>C174+1</f>
        <v>43950</v>
      </c>
      <c r="D175" s="233"/>
      <c r="E175" s="240"/>
      <c r="F175" s="235">
        <f>IF(OR('planning '!$H176="",'planning '!$J176=""),0,IF('planning '!$J176&gt;'planning '!$H176,MEDIAN('planning '!$J176,F$2,F$1)-MEDIAN('planning '!$H176,F$2,F$1),+('planning '!$J176&lt;'planning '!$H176)*(F$2-F$1)+MEDIAN('planning '!$J176,F$1,F$2)-MEDIAN('planning '!$H176,F$1,F$2)))-'planning '!AA176</f>
        <v>0</v>
      </c>
      <c r="G175" s="237"/>
      <c r="H175" s="235">
        <f>IF(OR('planning '!$H176="",'planning '!$J176=""),0,IF('planning '!$J176&gt;'planning '!$H176,MEDIAN('planning '!$J176,H$2,H$1)-MEDIAN('planning '!$H176,H$2,H$1),+('planning '!$J176&lt;'planning '!$H176)*(H$2-H$1)+MEDIAN('planning '!$J176,H$1,H$2)-MEDIAN('planning '!$H176,H$1,H$2)))</f>
        <v>0</v>
      </c>
      <c r="I175" s="237"/>
      <c r="J175" s="234">
        <f>IF(OR('planning '!$H176="",'planning '!$J176=""),0,IF('planning '!$J176&gt;'planning '!$H176,MEDIAN('planning '!$J176,J$2,J$1)-MEDIAN('planning '!$H176,J$2,J$1),+('planning '!$J176&lt;'planning '!$H176)*(J$2-J$1)+MEDIAN('planning '!$J176,J$1,J$2)-MEDIAN('planning '!$H176,J$1,J$2)))</f>
        <v>0.38055555555555554</v>
      </c>
      <c r="K175" s="237"/>
      <c r="M175" s="17"/>
      <c r="N175" s="263" t="s">
        <v>117</v>
      </c>
      <c r="O175" s="263" t="s">
        <v>115</v>
      </c>
      <c r="P175" s="263" t="s">
        <v>116</v>
      </c>
      <c r="Q175" s="243" t="s">
        <v>118</v>
      </c>
    </row>
    <row r="176" spans="2:17" x14ac:dyDescent="0.25">
      <c r="B176" s="231" t="str">
        <f>'planning '!F177</f>
        <v xml:space="preserve">férié </v>
      </c>
      <c r="C176" s="232">
        <f>C175+1</f>
        <v>43951</v>
      </c>
      <c r="D176" s="233"/>
      <c r="E176" s="240"/>
      <c r="F176" s="235">
        <f>IF(OR('planning '!$H177="",'planning '!$J177=""),0,IF('planning '!$J177&gt;'planning '!$H177,MEDIAN('planning '!$J177,F$2,F$1)-MEDIAN('planning '!$H177,F$2,F$1),+('planning '!$J177&lt;'planning '!$H177)*(F$2-F$1)+MEDIAN('planning '!$J177,F$1,F$2)-MEDIAN('planning '!$H177,F$1,F$2)))-'planning '!AA177</f>
        <v>0</v>
      </c>
      <c r="G176" s="237"/>
      <c r="H176" s="235">
        <f>IF(OR('planning '!$H177="",'planning '!$J177=""),0,IF('planning '!$J177&gt;'planning '!$H177,MEDIAN('planning '!$J177,H$2,H$1)-MEDIAN('planning '!$H177,H$2,H$1),+('planning '!$J177&lt;'planning '!$H177)*(H$2-H$1)+MEDIAN('planning '!$J177,H$1,H$2)-MEDIAN('planning '!$H177,H$1,H$2)))</f>
        <v>0</v>
      </c>
      <c r="I176" s="237"/>
      <c r="J176" s="234">
        <f>IF(OR('planning '!$H177="",'planning '!$J177=""),0,IF('planning '!$J177&gt;'planning '!$H177,MEDIAN('planning '!$J177,J$2,J$1)-MEDIAN('planning '!$H177,J$2,J$1),+('planning '!$J177&lt;'planning '!$H177)*(J$2-J$1)+MEDIAN('planning '!$J177,J$1,J$2)-MEDIAN('planning '!$H177,J$1,J$2)))</f>
        <v>0</v>
      </c>
      <c r="K176" s="237"/>
      <c r="M176" s="231" t="s">
        <v>111</v>
      </c>
      <c r="N176" s="261">
        <f t="shared" ref="N176:Q177" ca="1" si="34">SUMIF(OFFSET($C174:$C181,0,MATCH(N$10,$B$5:$H$5,0)-1,7,1),$K177,OFFSET($B174:$B180,0,MATCH(N$10,$B$5:$H$5,0)-1,7,1))</f>
        <v>0</v>
      </c>
      <c r="O176" s="261">
        <f t="shared" ca="1" si="34"/>
        <v>0</v>
      </c>
      <c r="P176" s="261">
        <f t="shared" ca="1" si="34"/>
        <v>0</v>
      </c>
      <c r="Q176" s="261">
        <f t="shared" ca="1" si="34"/>
        <v>0</v>
      </c>
    </row>
    <row r="177" spans="2:17" x14ac:dyDescent="0.25">
      <c r="B177" s="231" t="str">
        <f>'planning '!F178</f>
        <v>travail</v>
      </c>
      <c r="C177" s="232">
        <f t="shared" ref="C177:C180" si="35">C176+1</f>
        <v>43952</v>
      </c>
      <c r="D177" s="233"/>
      <c r="E177" s="240"/>
      <c r="F177" s="235">
        <f>IF(OR('planning '!$H178="",'planning '!$J178=""),0,IF('planning '!$J178&gt;'planning '!$H178,MEDIAN('planning '!$J178,F$2,F$1)-MEDIAN('planning '!$H178,F$2,F$1),+('planning '!$J178&lt;'planning '!$H178)*(F$2-F$1)+MEDIAN('planning '!$J178,F$1,F$2)-MEDIAN('planning '!$H178,F$1,F$2)))-'planning '!AA178</f>
        <v>0</v>
      </c>
      <c r="G177" s="237"/>
      <c r="H177" s="235">
        <f>IF(OR('planning '!$H178="",'planning '!$J178=""),0,IF('planning '!$J178&gt;'planning '!$H178,MEDIAN('planning '!$J178,H$2,H$1)-MEDIAN('planning '!$H178,H$2,H$1),+('planning '!$J178&lt;'planning '!$H178)*(H$2-H$1)+MEDIAN('planning '!$J178,H$1,H$2)-MEDIAN('planning '!$H178,H$1,H$2)))</f>
        <v>0</v>
      </c>
      <c r="I177" s="237"/>
      <c r="J177" s="234">
        <f>IF(OR('planning '!$H178="",'planning '!$J178=""),0,IF('planning '!$J178&gt;'planning '!$H178,MEDIAN('planning '!$J178,J$2,J$1)-MEDIAN('planning '!$H178,J$2,J$1),+('planning '!$J178&lt;'planning '!$H178)*(J$2-J$1)+MEDIAN('planning '!$J178,J$1,J$2)-MEDIAN('planning '!$H178,J$1,J$2)))</f>
        <v>0.38750000000000001</v>
      </c>
      <c r="K177" s="237"/>
      <c r="M177" s="231" t="s">
        <v>21</v>
      </c>
      <c r="N177" s="261">
        <f t="shared" ca="1" si="34"/>
        <v>0</v>
      </c>
      <c r="O177" s="261">
        <f t="shared" ca="1" si="34"/>
        <v>0</v>
      </c>
      <c r="P177" s="261">
        <f t="shared" ca="1" si="34"/>
        <v>0</v>
      </c>
      <c r="Q177" s="261">
        <f t="shared" ca="1" si="34"/>
        <v>0</v>
      </c>
    </row>
    <row r="178" spans="2:17" x14ac:dyDescent="0.25">
      <c r="B178" s="231" t="str">
        <f>'planning '!F179</f>
        <v>travail</v>
      </c>
      <c r="C178" s="232">
        <f t="shared" si="35"/>
        <v>43953</v>
      </c>
      <c r="D178" s="233"/>
      <c r="E178" s="240"/>
      <c r="F178" s="235">
        <f>IF(OR('planning '!$H179="",'planning '!$J179=""),0,IF('planning '!$J179&gt;'planning '!$H179,MEDIAN('planning '!$J179,F$2,F$1)-MEDIAN('planning '!$H179,F$2,F$1),+('planning '!$J179&lt;'planning '!$H179)*(F$2-F$1)+MEDIAN('planning '!$J179,F$1,F$2)-MEDIAN('planning '!$H179,F$1,F$2)))-'planning '!AA179</f>
        <v>0</v>
      </c>
      <c r="G178" s="237"/>
      <c r="H178" s="235">
        <f>IF(OR('planning '!$H179="",'planning '!$J179=""),0,IF('planning '!$J179&gt;'planning '!$H179,MEDIAN('planning '!$J179,H$2,H$1)-MEDIAN('planning '!$H179,H$2,H$1),+('planning '!$J179&lt;'planning '!$H179)*(H$2-H$1)+MEDIAN('planning '!$J179,H$1,H$2)-MEDIAN('planning '!$H179,H$1,H$2)))</f>
        <v>0</v>
      </c>
      <c r="I178" s="237"/>
      <c r="J178" s="234">
        <f>IF(OR('planning '!$H179="",'planning '!$J179=""),0,IF('planning '!$J179&gt;'planning '!$H179,MEDIAN('planning '!$J179,J$2,J$1)-MEDIAN('planning '!$H179,J$2,J$1),+('planning '!$J179&lt;'planning '!$H179)*(J$2-J$1)+MEDIAN('planning '!$J179,J$1,J$2)-MEDIAN('planning '!$H179,J$1,J$2)))</f>
        <v>0.37569444444444444</v>
      </c>
      <c r="K178" s="237"/>
      <c r="M178" s="17"/>
      <c r="N178" s="17"/>
      <c r="O178" s="17"/>
      <c r="P178" s="17"/>
      <c r="Q178" s="17"/>
    </row>
    <row r="179" spans="2:17" x14ac:dyDescent="0.25">
      <c r="B179" s="231" t="str">
        <f>'planning '!F180</f>
        <v>off</v>
      </c>
      <c r="C179" s="232">
        <f t="shared" si="35"/>
        <v>43954</v>
      </c>
      <c r="D179" s="233">
        <f>IF(OR('planning '!$H180="",'planning '!$J180=""),0,IF('planning '!$J180&gt;'planning '!$H180,MEDIAN('planning '!$J180,D$2,D$1)-MEDIAN('planning '!$H180,D$2,D$1),+('planning '!$J180&lt;'planning '!$H180)*(D$2-D$1)+MEDIAN('planning '!$J180,D$1,D$2)-MEDIAN('planning '!$H180,D$1,D$2)))-'planning '!V180</f>
        <v>0</v>
      </c>
      <c r="E179" s="240"/>
      <c r="F179" s="235">
        <f>IF(OR('planning '!$H180="",'planning '!$J180=""),0,IF('planning '!$J180&gt;'planning '!$H180,MEDIAN('planning '!$J180,F$2,F$1)-MEDIAN('planning '!$H180,F$2,F$1),+('planning '!$J180&lt;'planning '!$H180)*(F$2-F$1)+MEDIAN('planning '!$J180,F$1,F$2)-MEDIAN('planning '!$H180,F$1,F$2)))-'planning '!AA180</f>
        <v>0</v>
      </c>
      <c r="G179" s="237"/>
      <c r="H179" s="235">
        <f>IF(OR('planning '!$H180="",'planning '!$J180=""),0,IF('planning '!$J180&gt;'planning '!$H180,MEDIAN('planning '!$J180,H$2,H$1)-MEDIAN('planning '!$H180,H$2,H$1),+('planning '!$J180&lt;'planning '!$H180)*(H$2-H$1)+MEDIAN('planning '!$J180,H$1,H$2)-MEDIAN('planning '!$H180,H$1,H$2)))</f>
        <v>0</v>
      </c>
      <c r="I179" s="237"/>
      <c r="J179" s="234">
        <f>IF(OR('planning '!$H180="",'planning '!$J180=""),0,IF('planning '!$J180&gt;'planning '!$H180,MEDIAN('planning '!$J180,J$2,J$1)-MEDIAN('planning '!$H180,J$2,J$1),+('planning '!$J180&lt;'planning '!$H180)*(J$2-J$1)+MEDIAN('planning '!$J180,J$1,J$2)-MEDIAN('planning '!$H180,J$1,J$2)))</f>
        <v>0</v>
      </c>
      <c r="K179" s="237"/>
      <c r="M179" s="17"/>
      <c r="N179" s="17"/>
      <c r="O179" s="17"/>
      <c r="P179" s="17"/>
      <c r="Q179" s="17"/>
    </row>
    <row r="180" spans="2:17" ht="15.75" thickBot="1" x14ac:dyDescent="0.3">
      <c r="B180" s="231" t="str">
        <f>'planning '!F181</f>
        <v>off</v>
      </c>
      <c r="C180" s="232">
        <f t="shared" si="35"/>
        <v>43955</v>
      </c>
      <c r="D180" s="233">
        <f>IF(OR('planning '!$H181="",'planning '!$J181=""),0,IF('planning '!$J181&gt;'planning '!$H181,MEDIAN('planning '!$J181,D$2,D$1)-MEDIAN('planning '!$H181,D$2,D$1),+('planning '!$J181&lt;'planning '!$H181)*(D$2-D$1)+MEDIAN('planning '!$J181,D$1,D$2)-MEDIAN('planning '!$H181,D$1,D$2)))-'planning '!V181</f>
        <v>0</v>
      </c>
      <c r="E180" s="241"/>
      <c r="F180" s="235">
        <f>IF(OR('planning '!$H181="",'planning '!$J181=""),0,IF('planning '!$J181&gt;'planning '!$H181,MEDIAN('planning '!$J181,F$2,F$1)-MEDIAN('planning '!$H181,F$2,F$1),+('planning '!$J181&lt;'planning '!$H181)*(F$2-F$1)+MEDIAN('planning '!$J181,F$1,F$2)-MEDIAN('planning '!$H181,F$1,F$2)))-'planning '!AA181</f>
        <v>0</v>
      </c>
      <c r="G180" s="238"/>
      <c r="H180" s="235">
        <f>IF(OR('planning '!$H181="",'planning '!$J181=""),0,IF('planning '!$J181&gt;'planning '!$H181,MEDIAN('planning '!$J181,H$2,H$1)-MEDIAN('planning '!$H181,H$2,H$1),+('planning '!$J181&lt;'planning '!$H181)*(H$2-H$1)+MEDIAN('planning '!$J181,H$1,H$2)-MEDIAN('planning '!$H181,H$1,H$2)))</f>
        <v>0</v>
      </c>
      <c r="I180" s="238"/>
      <c r="J180" s="234">
        <f>IF(OR('planning '!$H181="",'planning '!$J181=""),0,IF('planning '!$J181&gt;'planning '!$H181,MEDIAN('planning '!$J181,J$2,J$1)-MEDIAN('planning '!$H181,J$2,J$1),+('planning '!$J181&lt;'planning '!$H181)*(J$2-J$1)+MEDIAN('planning '!$J181,J$1,J$2)-MEDIAN('planning '!$H181,J$1,J$2)))</f>
        <v>0</v>
      </c>
      <c r="K180" s="238"/>
      <c r="M180" s="17"/>
      <c r="N180" s="17"/>
      <c r="O180" s="17"/>
      <c r="P180" s="17"/>
      <c r="Q180" s="17"/>
    </row>
    <row r="181" spans="2:17" x14ac:dyDescent="0.25">
      <c r="M181" s="17"/>
      <c r="N181" s="17"/>
      <c r="O181" s="17"/>
      <c r="P181" s="17"/>
      <c r="Q181" s="17"/>
    </row>
    <row r="182" spans="2:17" x14ac:dyDescent="0.25">
      <c r="M182" s="17"/>
      <c r="N182" s="17"/>
      <c r="O182" s="17"/>
      <c r="P182" s="17"/>
      <c r="Q182" s="17"/>
    </row>
    <row r="183" spans="2:17" ht="15.75" thickBot="1" x14ac:dyDescent="0.3">
      <c r="M183" s="17"/>
      <c r="N183" s="17"/>
      <c r="O183" s="17"/>
      <c r="P183" s="17"/>
      <c r="Q183" s="17"/>
    </row>
    <row r="184" spans="2:17" x14ac:dyDescent="0.25">
      <c r="B184" s="231" t="str">
        <f>'planning '!F185</f>
        <v>travail</v>
      </c>
      <c r="C184" s="232">
        <f>'planning '!E185</f>
        <v>43956</v>
      </c>
      <c r="D184" s="233"/>
      <c r="E184" s="239"/>
      <c r="F184" s="235">
        <f>IF(OR('planning '!$H185="",'planning '!$J185=""),0,IF('planning '!$J185&gt;'planning '!$H185,MEDIAN('planning '!$J185,F$2,F$1)-MEDIAN('planning '!$H185,F$2,F$1),+('planning '!$J185&lt;'planning '!$H185)*(F$2-F$1)+MEDIAN('planning '!$J185,F$1,F$2)-MEDIAN('planning '!$H185,F$1,F$2)))-'planning '!AA185</f>
        <v>0</v>
      </c>
      <c r="G184" s="236"/>
      <c r="H184" s="235">
        <f>IF(OR('planning '!$H185="",'planning '!$J185=""),0,IF('planning '!$J185&gt;'planning '!$H185,MEDIAN('planning '!$J185,H$2,H$1)-MEDIAN('planning '!$H185,H$2,H$1),+('planning '!$J185&lt;'planning '!$H185)*(H$2-H$1)+MEDIAN('planning '!$J185,H$1,H$2)-MEDIAN('planning '!$H185,H$1,H$2)))</f>
        <v>0</v>
      </c>
      <c r="I184" s="236"/>
      <c r="J184" s="234">
        <f>IF(OR('planning '!$H185="",'planning '!$J185=""),0,IF('planning '!$J185&gt;'planning '!$H185,MEDIAN('planning '!$J185,J$2,J$1)-MEDIAN('planning '!$H185,J$2,J$1),+('planning '!$J185&lt;'planning '!$H185)*(J$2-J$1)+MEDIAN('planning '!$J185,J$1,J$2)-MEDIAN('planning '!$H185,J$1,J$2)))</f>
        <v>0.34236111111111123</v>
      </c>
      <c r="K184" s="236"/>
      <c r="M184" s="17"/>
      <c r="N184" s="264"/>
      <c r="O184" s="265" t="s">
        <v>114</v>
      </c>
      <c r="P184" s="266"/>
      <c r="Q184" s="17"/>
    </row>
    <row r="185" spans="2:17" x14ac:dyDescent="0.25">
      <c r="B185" s="231" t="str">
        <f>'planning '!F186</f>
        <v>travail</v>
      </c>
      <c r="C185" s="232">
        <f>C184+1</f>
        <v>43957</v>
      </c>
      <c r="D185" s="233"/>
      <c r="E185" s="240"/>
      <c r="F185" s="235">
        <f>IF(OR('planning '!$H186="",'planning '!$J186=""),0,IF('planning '!$J186&gt;'planning '!$H186,MEDIAN('planning '!$J186,F$2,F$1)-MEDIAN('planning '!$H186,F$2,F$1),+('planning '!$J186&lt;'planning '!$H186)*(F$2-F$1)+MEDIAN('planning '!$J186,F$1,F$2)-MEDIAN('planning '!$H186,F$1,F$2)))-'planning '!AA186</f>
        <v>0</v>
      </c>
      <c r="G185" s="237"/>
      <c r="H185" s="235">
        <f>IF(OR('planning '!$H186="",'planning '!$J186=""),0,IF('planning '!$J186&gt;'planning '!$H186,MEDIAN('planning '!$J186,H$2,H$1)-MEDIAN('planning '!$H186,H$2,H$1),+('planning '!$J186&lt;'planning '!$H186)*(H$2-H$1)+MEDIAN('planning '!$J186,H$1,H$2)-MEDIAN('planning '!$H186,H$1,H$2)))</f>
        <v>0</v>
      </c>
      <c r="I185" s="237"/>
      <c r="J185" s="234">
        <f>IF(OR('planning '!$H186="",'planning '!$J186=""),0,IF('planning '!$J186&gt;'planning '!$H186,MEDIAN('planning '!$J186,J$2,J$1)-MEDIAN('planning '!$H186,J$2,J$1),+('planning '!$J186&lt;'planning '!$H186)*(J$2-J$1)+MEDIAN('planning '!$J186,J$1,J$2)-MEDIAN('planning '!$H186,J$1,J$2)))</f>
        <v>0.38958333333333334</v>
      </c>
      <c r="K185" s="237"/>
      <c r="M185" s="17"/>
      <c r="N185" s="263" t="s">
        <v>117</v>
      </c>
      <c r="O185" s="263" t="s">
        <v>115</v>
      </c>
      <c r="P185" s="263" t="s">
        <v>116</v>
      </c>
      <c r="Q185" s="243" t="s">
        <v>118</v>
      </c>
    </row>
    <row r="186" spans="2:17" x14ac:dyDescent="0.25">
      <c r="B186" s="231" t="str">
        <f>'planning '!F187</f>
        <v xml:space="preserve">férié </v>
      </c>
      <c r="C186" s="232">
        <f>C185+1</f>
        <v>43958</v>
      </c>
      <c r="D186" s="233"/>
      <c r="E186" s="240"/>
      <c r="F186" s="235">
        <f>IF(OR('planning '!$H187="",'planning '!$J187=""),0,IF('planning '!$J187&gt;'planning '!$H187,MEDIAN('planning '!$J187,F$2,F$1)-MEDIAN('planning '!$H187,F$2,F$1),+('planning '!$J187&lt;'planning '!$H187)*(F$2-F$1)+MEDIAN('planning '!$J187,F$1,F$2)-MEDIAN('planning '!$H187,F$1,F$2)))-'planning '!AA187</f>
        <v>0</v>
      </c>
      <c r="G186" s="237"/>
      <c r="H186" s="235">
        <f>IF(OR('planning '!$H187="",'planning '!$J187=""),0,IF('planning '!$J187&gt;'planning '!$H187,MEDIAN('planning '!$J187,H$2,H$1)-MEDIAN('planning '!$H187,H$2,H$1),+('planning '!$J187&lt;'planning '!$H187)*(H$2-H$1)+MEDIAN('planning '!$J187,H$1,H$2)-MEDIAN('planning '!$H187,H$1,H$2)))</f>
        <v>0</v>
      </c>
      <c r="I186" s="237"/>
      <c r="J186" s="234">
        <f>IF(OR('planning '!$H187="",'planning '!$J187=""),0,IF('planning '!$J187&gt;'planning '!$H187,MEDIAN('planning '!$J187,J$2,J$1)-MEDIAN('planning '!$H187,J$2,J$1),+('planning '!$J187&lt;'planning '!$H187)*(J$2-J$1)+MEDIAN('planning '!$J187,J$1,J$2)-MEDIAN('planning '!$H187,J$1,J$2)))</f>
        <v>0</v>
      </c>
      <c r="K186" s="237"/>
      <c r="M186" s="231" t="s">
        <v>111</v>
      </c>
      <c r="N186" s="261">
        <f t="shared" ref="N186:Q187" ca="1" si="36">SUMIF(OFFSET($C184:$C191,0,MATCH(N$10,$B$5:$H$5,0)-1,7,1),$K187,OFFSET($B184:$B190,0,MATCH(N$10,$B$5:$H$5,0)-1,7,1))</f>
        <v>0</v>
      </c>
      <c r="O186" s="261">
        <f t="shared" ca="1" si="36"/>
        <v>0</v>
      </c>
      <c r="P186" s="261">
        <f t="shared" ca="1" si="36"/>
        <v>0</v>
      </c>
      <c r="Q186" s="261">
        <f t="shared" ca="1" si="36"/>
        <v>0</v>
      </c>
    </row>
    <row r="187" spans="2:17" x14ac:dyDescent="0.25">
      <c r="B187" s="231" t="str">
        <f>'planning '!F188</f>
        <v xml:space="preserve">férié </v>
      </c>
      <c r="C187" s="232">
        <f t="shared" ref="C187:C190" si="37">C186+1</f>
        <v>43959</v>
      </c>
      <c r="D187" s="233"/>
      <c r="E187" s="240"/>
      <c r="F187" s="235">
        <f>IF(OR('planning '!$H188="",'planning '!$J188=""),0,IF('planning '!$J188&gt;'planning '!$H188,MEDIAN('planning '!$J188,F$2,F$1)-MEDIAN('planning '!$H188,F$2,F$1),+('planning '!$J188&lt;'planning '!$H188)*(F$2-F$1)+MEDIAN('planning '!$J188,F$1,F$2)-MEDIAN('planning '!$H188,F$1,F$2)))-'planning '!AA188</f>
        <v>0</v>
      </c>
      <c r="G187" s="237"/>
      <c r="H187" s="235">
        <f>IF(OR('planning '!$H188="",'planning '!$J188=""),0,IF('planning '!$J188&gt;'planning '!$H188,MEDIAN('planning '!$J188,H$2,H$1)-MEDIAN('planning '!$H188,H$2,H$1),+('planning '!$J188&lt;'planning '!$H188)*(H$2-H$1)+MEDIAN('planning '!$J188,H$1,H$2)-MEDIAN('planning '!$H188,H$1,H$2)))</f>
        <v>0</v>
      </c>
      <c r="I187" s="237"/>
      <c r="J187" s="234">
        <f>IF(OR('planning '!$H188="",'planning '!$J188=""),0,IF('planning '!$J188&gt;'planning '!$H188,MEDIAN('planning '!$J188,J$2,J$1)-MEDIAN('planning '!$H188,J$2,J$1),+('planning '!$J188&lt;'planning '!$H188)*(J$2-J$1)+MEDIAN('planning '!$J188,J$1,J$2)-MEDIAN('planning '!$H188,J$1,J$2)))</f>
        <v>0</v>
      </c>
      <c r="K187" s="237"/>
      <c r="M187" s="231" t="s">
        <v>21</v>
      </c>
      <c r="N187" s="261">
        <f t="shared" ca="1" si="36"/>
        <v>0</v>
      </c>
      <c r="O187" s="261">
        <f t="shared" ca="1" si="36"/>
        <v>0</v>
      </c>
      <c r="P187" s="261">
        <f t="shared" ca="1" si="36"/>
        <v>0</v>
      </c>
      <c r="Q187" s="261">
        <f t="shared" ca="1" si="36"/>
        <v>0</v>
      </c>
    </row>
    <row r="188" spans="2:17" x14ac:dyDescent="0.25">
      <c r="B188" s="231" t="str">
        <f>'planning '!F189</f>
        <v>congé 1 jour</v>
      </c>
      <c r="C188" s="232">
        <f t="shared" si="37"/>
        <v>43960</v>
      </c>
      <c r="D188" s="233"/>
      <c r="E188" s="240"/>
      <c r="F188" s="235">
        <f>IF(OR('planning '!$H189="",'planning '!$J189=""),0,IF('planning '!$J189&gt;'planning '!$H189,MEDIAN('planning '!$J189,F$2,F$1)-MEDIAN('planning '!$H189,F$2,F$1),+('planning '!$J189&lt;'planning '!$H189)*(F$2-F$1)+MEDIAN('planning '!$J189,F$1,F$2)-MEDIAN('planning '!$H189,F$1,F$2)))-'planning '!AA189</f>
        <v>0</v>
      </c>
      <c r="G188" s="237"/>
      <c r="H188" s="235">
        <f>IF(OR('planning '!$H189="",'planning '!$J189=""),0,IF('planning '!$J189&gt;'planning '!$H189,MEDIAN('planning '!$J189,H$2,H$1)-MEDIAN('planning '!$H189,H$2,H$1),+('planning '!$J189&lt;'planning '!$H189)*(H$2-H$1)+MEDIAN('planning '!$J189,H$1,H$2)-MEDIAN('planning '!$H189,H$1,H$2)))</f>
        <v>0</v>
      </c>
      <c r="I188" s="237"/>
      <c r="J188" s="234">
        <f>IF(OR('planning '!$H189="",'planning '!$J189=""),0,IF('planning '!$J189&gt;'planning '!$H189,MEDIAN('planning '!$J189,J$2,J$1)-MEDIAN('planning '!$H189,J$2,J$1),+('planning '!$J189&lt;'planning '!$H189)*(J$2-J$1)+MEDIAN('planning '!$J189,J$1,J$2)-MEDIAN('planning '!$H189,J$1,J$2)))</f>
        <v>0</v>
      </c>
      <c r="K188" s="237"/>
      <c r="M188" s="17"/>
      <c r="N188" s="17"/>
      <c r="O188" s="17"/>
      <c r="P188" s="17"/>
      <c r="Q188" s="17"/>
    </row>
    <row r="189" spans="2:17" x14ac:dyDescent="0.25">
      <c r="B189" s="231" t="str">
        <f>'planning '!F190</f>
        <v>off</v>
      </c>
      <c r="C189" s="232">
        <f t="shared" si="37"/>
        <v>43961</v>
      </c>
      <c r="D189" s="233">
        <f>IF(OR('planning '!$H190="",'planning '!$J190=""),0,IF('planning '!$J190&gt;'planning '!$H190,MEDIAN('planning '!$J190,D$2,D$1)-MEDIAN('planning '!$H190,D$2,D$1),+('planning '!$J190&lt;'planning '!$H190)*(D$2-D$1)+MEDIAN('planning '!$J190,D$1,D$2)-MEDIAN('planning '!$H190,D$1,D$2)))-'planning '!V190</f>
        <v>0</v>
      </c>
      <c r="E189" s="240"/>
      <c r="F189" s="235">
        <f>IF(OR('planning '!$H190="",'planning '!$J190=""),0,IF('planning '!$J190&gt;'planning '!$H190,MEDIAN('planning '!$J190,F$2,F$1)-MEDIAN('planning '!$H190,F$2,F$1),+('planning '!$J190&lt;'planning '!$H190)*(F$2-F$1)+MEDIAN('planning '!$J190,F$1,F$2)-MEDIAN('planning '!$H190,F$1,F$2)))-'planning '!AA190</f>
        <v>0</v>
      </c>
      <c r="G189" s="237"/>
      <c r="H189" s="235">
        <f>IF(OR('planning '!$H190="",'planning '!$J190=""),0,IF('planning '!$J190&gt;'planning '!$H190,MEDIAN('planning '!$J190,H$2,H$1)-MEDIAN('planning '!$H190,H$2,H$1),+('planning '!$J190&lt;'planning '!$H190)*(H$2-H$1)+MEDIAN('planning '!$J190,H$1,H$2)-MEDIAN('planning '!$H190,H$1,H$2)))</f>
        <v>0</v>
      </c>
      <c r="I189" s="237"/>
      <c r="J189" s="234">
        <f>IF(OR('planning '!$H190="",'planning '!$J190=""),0,IF('planning '!$J190&gt;'planning '!$H190,MEDIAN('planning '!$J190,J$2,J$1)-MEDIAN('planning '!$H190,J$2,J$1),+('planning '!$J190&lt;'planning '!$H190)*(J$2-J$1)+MEDIAN('planning '!$J190,J$1,J$2)-MEDIAN('planning '!$H190,J$1,J$2)))</f>
        <v>0</v>
      </c>
      <c r="K189" s="237"/>
      <c r="M189" s="17"/>
      <c r="N189" s="17"/>
      <c r="O189" s="17"/>
      <c r="P189" s="17"/>
      <c r="Q189" s="17"/>
    </row>
    <row r="190" spans="2:17" ht="15.75" thickBot="1" x14ac:dyDescent="0.3">
      <c r="B190" s="231" t="str">
        <f>'planning '!F191</f>
        <v>off</v>
      </c>
      <c r="C190" s="232">
        <f t="shared" si="37"/>
        <v>43962</v>
      </c>
      <c r="D190" s="233">
        <f>IF(OR('planning '!$H191="",'planning '!$J191=""),0,IF('planning '!$J191&gt;'planning '!$H191,MEDIAN('planning '!$J191,D$2,D$1)-MEDIAN('planning '!$H191,D$2,D$1),+('planning '!$J191&lt;'planning '!$H191)*(D$2-D$1)+MEDIAN('planning '!$J191,D$1,D$2)-MEDIAN('planning '!$H191,D$1,D$2)))-'planning '!V191</f>
        <v>0</v>
      </c>
      <c r="E190" s="241"/>
      <c r="F190" s="235">
        <f>IF(OR('planning '!$H191="",'planning '!$J191=""),0,IF('planning '!$J191&gt;'planning '!$H191,MEDIAN('planning '!$J191,F$2,F$1)-MEDIAN('planning '!$H191,F$2,F$1),+('planning '!$J191&lt;'planning '!$H191)*(F$2-F$1)+MEDIAN('planning '!$J191,F$1,F$2)-MEDIAN('planning '!$H191,F$1,F$2)))-'planning '!AA191</f>
        <v>0</v>
      </c>
      <c r="G190" s="238"/>
      <c r="H190" s="235">
        <f>IF(OR('planning '!$H191="",'planning '!$J191=""),0,IF('planning '!$J191&gt;'planning '!$H191,MEDIAN('planning '!$J191,H$2,H$1)-MEDIAN('planning '!$H191,H$2,H$1),+('planning '!$J191&lt;'planning '!$H191)*(H$2-H$1)+MEDIAN('planning '!$J191,H$1,H$2)-MEDIAN('planning '!$H191,H$1,H$2)))</f>
        <v>0</v>
      </c>
      <c r="I190" s="238"/>
      <c r="J190" s="234">
        <f>IF(OR('planning '!$H191="",'planning '!$J191=""),0,IF('planning '!$J191&gt;'planning '!$H191,MEDIAN('planning '!$J191,J$2,J$1)-MEDIAN('planning '!$H191,J$2,J$1),+('planning '!$J191&lt;'planning '!$H191)*(J$2-J$1)+MEDIAN('planning '!$J191,J$1,J$2)-MEDIAN('planning '!$H191,J$1,J$2)))</f>
        <v>0</v>
      </c>
      <c r="K190" s="238"/>
      <c r="M190" s="17"/>
      <c r="N190" s="17"/>
      <c r="O190" s="17"/>
      <c r="P190" s="17"/>
      <c r="Q190" s="17"/>
    </row>
    <row r="191" spans="2:17" x14ac:dyDescent="0.25">
      <c r="M191" s="17"/>
      <c r="N191" s="17"/>
      <c r="O191" s="17"/>
      <c r="P191" s="17"/>
      <c r="Q191" s="17"/>
    </row>
    <row r="192" spans="2:17" x14ac:dyDescent="0.25">
      <c r="M192" s="17"/>
      <c r="N192" s="17"/>
      <c r="O192" s="17"/>
      <c r="P192" s="17"/>
      <c r="Q192" s="17"/>
    </row>
    <row r="193" spans="2:17" ht="15.75" thickBot="1" x14ac:dyDescent="0.3">
      <c r="M193" s="17"/>
      <c r="N193" s="17"/>
      <c r="O193" s="17"/>
      <c r="P193" s="17"/>
      <c r="Q193" s="17"/>
    </row>
    <row r="194" spans="2:17" x14ac:dyDescent="0.25">
      <c r="B194" s="231" t="str">
        <f>'planning '!F195</f>
        <v>travail</v>
      </c>
      <c r="C194" s="232">
        <f>'planning '!E195</f>
        <v>43963</v>
      </c>
      <c r="D194" s="233"/>
      <c r="E194" s="239"/>
      <c r="F194" s="235">
        <f>IF(OR('planning '!$H195="",'planning '!$J195=""),0,IF('planning '!$J195&gt;'planning '!$H195,MEDIAN('planning '!$J195,F$2,F$1)-MEDIAN('planning '!$H195,F$2,F$1),+('planning '!$J195&lt;'planning '!$H195)*(F$2-F$1)+MEDIAN('planning '!$J195,F$1,F$2)-MEDIAN('planning '!$H195,F$1,F$2)))-'planning '!AA195</f>
        <v>0.14027777777777772</v>
      </c>
      <c r="G194" s="236" t="s">
        <v>21</v>
      </c>
      <c r="H194" s="235">
        <f>IF(OR('planning '!$H195="",'planning '!$J195=""),0,IF('planning '!$J195&gt;'planning '!$H195,MEDIAN('planning '!$J195,H$2,H$1)-MEDIAN('planning '!$H195,H$2,H$1),+('planning '!$J195&lt;'planning '!$H195)*(H$2-H$1)+MEDIAN('planning '!$J195,H$1,H$2)-MEDIAN('planning '!$H195,H$1,H$2)))</f>
        <v>0</v>
      </c>
      <c r="I194" s="236"/>
      <c r="J194" s="234">
        <f>IF(OR('planning '!$H195="",'planning '!$J195=""),0,IF('planning '!$J195&gt;'planning '!$H195,MEDIAN('planning '!$J195,J$2,J$1)-MEDIAN('planning '!$H195,J$2,J$1),+('planning '!$J195&lt;'planning '!$H195)*(J$2-J$1)+MEDIAN('planning '!$J195,J$1,J$2)-MEDIAN('planning '!$H195,J$1,J$2)))</f>
        <v>0.53333333333333333</v>
      </c>
      <c r="K194" s="236"/>
      <c r="M194" s="17"/>
      <c r="N194" s="264"/>
      <c r="O194" s="265" t="s">
        <v>114</v>
      </c>
      <c r="P194" s="266"/>
      <c r="Q194" s="17"/>
    </row>
    <row r="195" spans="2:17" x14ac:dyDescent="0.25">
      <c r="B195" s="231" t="str">
        <f>'planning '!F196</f>
        <v>travail</v>
      </c>
      <c r="C195" s="232">
        <f>C194+1</f>
        <v>43964</v>
      </c>
      <c r="D195" s="233"/>
      <c r="E195" s="240"/>
      <c r="F195" s="235">
        <f>IF(OR('planning '!$H196="",'planning '!$J196=""),0,IF('planning '!$J196&gt;'planning '!$H196,MEDIAN('planning '!$J196,F$2,F$1)-MEDIAN('planning '!$H196,F$2,F$1),+('planning '!$J196&lt;'planning '!$H196)*(F$2-F$1)+MEDIAN('planning '!$J196,F$1,F$2)-MEDIAN('planning '!$H196,F$1,F$2)))-'planning '!AA196</f>
        <v>0</v>
      </c>
      <c r="G195" s="237"/>
      <c r="H195" s="235">
        <f>IF(OR('planning '!$H196="",'planning '!$J196=""),0,IF('planning '!$J196&gt;'planning '!$H196,MEDIAN('planning '!$J196,H$2,H$1)-MEDIAN('planning '!$H196,H$2,H$1),+('planning '!$J196&lt;'planning '!$H196)*(H$2-H$1)+MEDIAN('planning '!$J196,H$1,H$2)-MEDIAN('planning '!$H196,H$1,H$2)))</f>
        <v>0</v>
      </c>
      <c r="I195" s="237"/>
      <c r="J195" s="234">
        <f>IF(OR('planning '!$H196="",'planning '!$J196=""),0,IF('planning '!$J196&gt;'planning '!$H196,MEDIAN('planning '!$J196,J$2,J$1)-MEDIAN('planning '!$H196,J$2,J$1),+('planning '!$J196&lt;'planning '!$H196)*(J$2-J$1)+MEDIAN('planning '!$J196,J$1,J$2)-MEDIAN('planning '!$H196,J$1,J$2)))</f>
        <v>0.34374999999999994</v>
      </c>
      <c r="K195" s="237"/>
      <c r="M195" s="17"/>
      <c r="N195" s="263" t="s">
        <v>117</v>
      </c>
      <c r="O195" s="263" t="s">
        <v>115</v>
      </c>
      <c r="P195" s="263" t="s">
        <v>116</v>
      </c>
      <c r="Q195" s="243" t="s">
        <v>118</v>
      </c>
    </row>
    <row r="196" spans="2:17" x14ac:dyDescent="0.25">
      <c r="B196" s="231" t="str">
        <f>'planning '!F197</f>
        <v>travail</v>
      </c>
      <c r="C196" s="232">
        <f>C195+1</f>
        <v>43965</v>
      </c>
      <c r="D196" s="233"/>
      <c r="E196" s="240"/>
      <c r="F196" s="235">
        <f>IF(OR('planning '!$H197="",'planning '!$J197=""),0,IF('planning '!$J197&gt;'planning '!$H197,MEDIAN('planning '!$J197,F$2,F$1)-MEDIAN('planning '!$H197,F$2,F$1),+('planning '!$J197&lt;'planning '!$H197)*(F$2-F$1)+MEDIAN('planning '!$J197,F$1,F$2)-MEDIAN('planning '!$H197,F$1,F$2)))-'planning '!AA197</f>
        <v>0.12777777777777777</v>
      </c>
      <c r="G196" s="237" t="s">
        <v>21</v>
      </c>
      <c r="H196" s="235">
        <f>IF(OR('planning '!$H197="",'planning '!$J197=""),0,IF('planning '!$J197&gt;'planning '!$H197,MEDIAN('planning '!$J197,H$2,H$1)-MEDIAN('planning '!$H197,H$2,H$1),+('planning '!$J197&lt;'planning '!$H197)*(H$2-H$1)+MEDIAN('planning '!$J197,H$1,H$2)-MEDIAN('planning '!$H197,H$1,H$2)))</f>
        <v>0</v>
      </c>
      <c r="I196" s="237"/>
      <c r="J196" s="234">
        <f>IF(OR('planning '!$H197="",'planning '!$J197=""),0,IF('planning '!$J197&gt;'planning '!$H197,MEDIAN('planning '!$J197,J$2,J$1)-MEDIAN('planning '!$H197,J$2,J$1),+('planning '!$J197&lt;'planning '!$H197)*(J$2-J$1)+MEDIAN('planning '!$J197,J$1,J$2)-MEDIAN('planning '!$H197,J$1,J$2)))</f>
        <v>0.49652777777777779</v>
      </c>
      <c r="K196" s="237"/>
      <c r="M196" s="231" t="s">
        <v>111</v>
      </c>
      <c r="N196" s="261">
        <f t="shared" ref="N196:Q197" ca="1" si="38">SUMIF(OFFSET($C194:$C201,0,MATCH(N$10,$B$5:$H$5,0)-1,7,1),$K197,OFFSET($B194:$B200,0,MATCH(N$10,$B$5:$H$5,0)-1,7,1))</f>
        <v>0</v>
      </c>
      <c r="O196" s="261">
        <f t="shared" ca="1" si="38"/>
        <v>0</v>
      </c>
      <c r="P196" s="261">
        <f t="shared" ca="1" si="38"/>
        <v>0</v>
      </c>
      <c r="Q196" s="261">
        <f t="shared" ca="1" si="38"/>
        <v>0</v>
      </c>
    </row>
    <row r="197" spans="2:17" x14ac:dyDescent="0.25">
      <c r="B197" s="231" t="str">
        <f>'planning '!F198</f>
        <v>travail</v>
      </c>
      <c r="C197" s="232">
        <f t="shared" ref="C197:C200" si="39">C196+1</f>
        <v>43966</v>
      </c>
      <c r="D197" s="233"/>
      <c r="E197" s="240"/>
      <c r="F197" s="235">
        <f>IF(OR('planning '!$H198="",'planning '!$J198=""),0,IF('planning '!$J198&gt;'planning '!$H198,MEDIAN('planning '!$J198,F$2,F$1)-MEDIAN('planning '!$H198,F$2,F$1),+('planning '!$J198&lt;'planning '!$H198)*(F$2-F$1)+MEDIAN('planning '!$J198,F$1,F$2)-MEDIAN('planning '!$H198,F$1,F$2)))-'planning '!AA198</f>
        <v>8.0555555555555491E-2</v>
      </c>
      <c r="G197" s="237" t="s">
        <v>21</v>
      </c>
      <c r="H197" s="235">
        <f>IF(OR('planning '!$H198="",'planning '!$J198=""),0,IF('planning '!$J198&gt;'planning '!$H198,MEDIAN('planning '!$J198,H$2,H$1)-MEDIAN('planning '!$H198,H$2,H$1),+('planning '!$J198&lt;'planning '!$H198)*(H$2-H$1)+MEDIAN('planning '!$J198,H$1,H$2)-MEDIAN('planning '!$H198,H$1,H$2)))</f>
        <v>0</v>
      </c>
      <c r="I197" s="237"/>
      <c r="J197" s="234">
        <f>IF(OR('planning '!$H198="",'planning '!$J198=""),0,IF('planning '!$J198&gt;'planning '!$H198,MEDIAN('planning '!$J198,J$2,J$1)-MEDIAN('planning '!$H198,J$2,J$1),+('planning '!$J198&lt;'planning '!$H198)*(J$2-J$1)+MEDIAN('planning '!$J198,J$1,J$2)-MEDIAN('planning '!$H198,J$1,J$2)))</f>
        <v>0.47499999999999998</v>
      </c>
      <c r="K197" s="237"/>
      <c r="M197" s="231" t="s">
        <v>21</v>
      </c>
      <c r="N197" s="261">
        <f t="shared" ca="1" si="38"/>
        <v>0</v>
      </c>
      <c r="O197" s="261">
        <f t="shared" ca="1" si="38"/>
        <v>0</v>
      </c>
      <c r="P197" s="261">
        <f t="shared" ca="1" si="38"/>
        <v>0</v>
      </c>
      <c r="Q197" s="261">
        <f t="shared" ca="1" si="38"/>
        <v>0</v>
      </c>
    </row>
    <row r="198" spans="2:17" x14ac:dyDescent="0.25">
      <c r="B198" s="231" t="str">
        <f>'planning '!F199</f>
        <v>travail</v>
      </c>
      <c r="C198" s="232">
        <f t="shared" si="39"/>
        <v>43967</v>
      </c>
      <c r="D198" s="233"/>
      <c r="E198" s="240"/>
      <c r="F198" s="235">
        <f>IF(OR('planning '!$H199="",'planning '!$J199=""),0,IF('planning '!$J199&gt;'planning '!$H199,MEDIAN('planning '!$J199,F$2,F$1)-MEDIAN('planning '!$H199,F$2,F$1),+('planning '!$J199&lt;'planning '!$H199)*(F$2-F$1)+MEDIAN('planning '!$J199,F$1,F$2)-MEDIAN('planning '!$H199,F$1,F$2)))-'planning '!AA199</f>
        <v>0.13958333333333328</v>
      </c>
      <c r="G198" s="237" t="s">
        <v>21</v>
      </c>
      <c r="H198" s="235">
        <f>IF(OR('planning '!$H199="",'planning '!$J199=""),0,IF('planning '!$J199&gt;'planning '!$H199,MEDIAN('planning '!$J199,H$2,H$1)-MEDIAN('planning '!$H199,H$2,H$1),+('planning '!$J199&lt;'planning '!$H199)*(H$2-H$1)+MEDIAN('planning '!$J199,H$1,H$2)-MEDIAN('planning '!$H199,H$1,H$2)))</f>
        <v>0</v>
      </c>
      <c r="I198" s="237"/>
      <c r="J198" s="234">
        <f>IF(OR('planning '!$H199="",'planning '!$J199=""),0,IF('planning '!$J199&gt;'planning '!$H199,MEDIAN('planning '!$J199,J$2,J$1)-MEDIAN('planning '!$H199,J$2,J$1),+('planning '!$J199&lt;'planning '!$H199)*(J$2-J$1)+MEDIAN('planning '!$J199,J$1,J$2)-MEDIAN('planning '!$H199,J$1,J$2)))</f>
        <v>0.53611111111111109</v>
      </c>
      <c r="K198" s="237"/>
      <c r="M198" s="17"/>
      <c r="N198" s="17"/>
      <c r="O198" s="17"/>
      <c r="P198" s="17"/>
      <c r="Q198" s="17"/>
    </row>
    <row r="199" spans="2:17" ht="15.6" customHeight="1" x14ac:dyDescent="0.25">
      <c r="B199" s="231" t="str">
        <f>'planning '!F200</f>
        <v>off</v>
      </c>
      <c r="C199" s="232">
        <f t="shared" si="39"/>
        <v>43968</v>
      </c>
      <c r="D199" s="233">
        <f>IF(OR('planning '!$H200="",'planning '!$J200=""),0,IF('planning '!$J200&gt;'planning '!$H200,MEDIAN('planning '!$J200,D$2,D$1)-MEDIAN('planning '!$H200,D$2,D$1),+('planning '!$J200&lt;'planning '!$H200)*(D$2-D$1)+MEDIAN('planning '!$J200,D$1,D$2)-MEDIAN('planning '!$H200,D$1,D$2)))-'planning '!V200</f>
        <v>0</v>
      </c>
      <c r="E199" s="240"/>
      <c r="F199" s="235">
        <f>IF(OR('planning '!$H200="",'planning '!$J200=""),0,IF('planning '!$J200&gt;'planning '!$H200,MEDIAN('planning '!$J200,F$2,F$1)-MEDIAN('planning '!$H200,F$2,F$1),+('planning '!$J200&lt;'planning '!$H200)*(F$2-F$1)+MEDIAN('planning '!$J200,F$1,F$2)-MEDIAN('planning '!$H200,F$1,F$2)))-'planning '!AA200</f>
        <v>0</v>
      </c>
      <c r="G199" s="237"/>
      <c r="H199" s="235">
        <f>IF(OR('planning '!$H200="",'planning '!$J200=""),0,IF('planning '!$J200&gt;'planning '!$H200,MEDIAN('planning '!$J200,H$2,H$1)-MEDIAN('planning '!$H200,H$2,H$1),+('planning '!$J200&lt;'planning '!$H200)*(H$2-H$1)+MEDIAN('planning '!$J200,H$1,H$2)-MEDIAN('planning '!$H200,H$1,H$2)))</f>
        <v>0</v>
      </c>
      <c r="I199" s="237"/>
      <c r="J199" s="234">
        <f>IF(OR('planning '!$H200="",'planning '!$J200=""),0,IF('planning '!$J200&gt;'planning '!$H200,MEDIAN('planning '!$J200,J$2,J$1)-MEDIAN('planning '!$H200,J$2,J$1),+('planning '!$J200&lt;'planning '!$H200)*(J$2-J$1)+MEDIAN('planning '!$J200,J$1,J$2)-MEDIAN('planning '!$H200,J$1,J$2)))</f>
        <v>0</v>
      </c>
      <c r="K199" s="237"/>
      <c r="M199" s="17"/>
      <c r="N199" s="17"/>
      <c r="O199" s="17"/>
      <c r="P199" s="17"/>
      <c r="Q199" s="17"/>
    </row>
    <row r="200" spans="2:17" ht="14.45" customHeight="1" thickBot="1" x14ac:dyDescent="0.3">
      <c r="B200" s="231" t="str">
        <f>'planning '!F201</f>
        <v>off</v>
      </c>
      <c r="C200" s="232">
        <f t="shared" si="39"/>
        <v>43969</v>
      </c>
      <c r="D200" s="233">
        <f>IF(OR('planning '!$H201="",'planning '!$J201=""),0,IF('planning '!$J201&gt;'planning '!$H201,MEDIAN('planning '!$J201,D$2,D$1)-MEDIAN('planning '!$H201,D$2,D$1),+('planning '!$J201&lt;'planning '!$H201)*(D$2-D$1)+MEDIAN('planning '!$J201,D$1,D$2)-MEDIAN('planning '!$H201,D$1,D$2)))-'planning '!V201</f>
        <v>0</v>
      </c>
      <c r="E200" s="241"/>
      <c r="F200" s="235">
        <f>IF(OR('planning '!$H201="",'planning '!$J201=""),0,IF('planning '!$J201&gt;'planning '!$H201,MEDIAN('planning '!$J201,F$2,F$1)-MEDIAN('planning '!$H201,F$2,F$1),+('planning '!$J201&lt;'planning '!$H201)*(F$2-F$1)+MEDIAN('planning '!$J201,F$1,F$2)-MEDIAN('planning '!$H201,F$1,F$2)))-'planning '!AA201</f>
        <v>0</v>
      </c>
      <c r="G200" s="238"/>
      <c r="H200" s="235">
        <f>IF(OR('planning '!$H201="",'planning '!$J201=""),0,IF('planning '!$J201&gt;'planning '!$H201,MEDIAN('planning '!$J201,H$2,H$1)-MEDIAN('planning '!$H201,H$2,H$1),+('planning '!$J201&lt;'planning '!$H201)*(H$2-H$1)+MEDIAN('planning '!$J201,H$1,H$2)-MEDIAN('planning '!$H201,H$1,H$2)))</f>
        <v>0</v>
      </c>
      <c r="I200" s="238"/>
      <c r="J200" s="234">
        <f>IF(OR('planning '!$H201="",'planning '!$J201=""),0,IF('planning '!$J201&gt;'planning '!$H201,MEDIAN('planning '!$J201,J$2,J$1)-MEDIAN('planning '!$H201,J$2,J$1),+('planning '!$J201&lt;'planning '!$H201)*(J$2-J$1)+MEDIAN('planning '!$J201,J$1,J$2)-MEDIAN('planning '!$H201,J$1,J$2)))</f>
        <v>0</v>
      </c>
      <c r="K200" s="238"/>
      <c r="M200" s="17"/>
      <c r="N200" s="17"/>
      <c r="O200" s="17"/>
      <c r="P200" s="17"/>
      <c r="Q200" s="17"/>
    </row>
    <row r="201" spans="2:17" x14ac:dyDescent="0.25">
      <c r="M201" s="17"/>
      <c r="N201" s="17"/>
      <c r="O201" s="17"/>
      <c r="P201" s="17"/>
      <c r="Q201" s="17"/>
    </row>
    <row r="202" spans="2:17" x14ac:dyDescent="0.25">
      <c r="M202" s="17"/>
      <c r="N202" s="17"/>
      <c r="O202" s="17"/>
      <c r="P202" s="17"/>
      <c r="Q202" s="17"/>
    </row>
    <row r="203" spans="2:17" ht="15.75" thickBot="1" x14ac:dyDescent="0.3">
      <c r="M203" s="17"/>
      <c r="N203" s="17"/>
      <c r="O203" s="17"/>
      <c r="P203" s="17"/>
      <c r="Q203" s="17"/>
    </row>
    <row r="204" spans="2:17" x14ac:dyDescent="0.25">
      <c r="B204" s="231" t="str">
        <f>'planning '!F205</f>
        <v xml:space="preserve">férié </v>
      </c>
      <c r="C204" s="232">
        <f>'planning '!E205</f>
        <v>43970</v>
      </c>
      <c r="D204" s="233"/>
      <c r="E204" s="239"/>
      <c r="F204" s="235">
        <f>IF(OR('planning '!$H205="",'planning '!$J205=""),0,IF('planning '!$J205&gt;'planning '!$H205,MEDIAN('planning '!$J205,F$2,F$1)-MEDIAN('planning '!$H205,F$2,F$1),+('planning '!$J205&lt;'planning '!$H205)*(F$2-F$1)+MEDIAN('planning '!$J205,F$1,F$2)-MEDIAN('planning '!$H205,F$1,F$2)))-'planning '!AA205</f>
        <v>0</v>
      </c>
      <c r="G204" s="236"/>
      <c r="H204" s="235">
        <f>IF(OR('planning '!$H205="",'planning '!$J205=""),0,IF('planning '!$J205&gt;'planning '!$H205,MEDIAN('planning '!$J205,H$2,H$1)-MEDIAN('planning '!$H205,H$2,H$1),+('planning '!$J205&lt;'planning '!$H205)*(H$2-H$1)+MEDIAN('planning '!$J205,H$1,H$2)-MEDIAN('planning '!$H205,H$1,H$2)))</f>
        <v>0</v>
      </c>
      <c r="I204" s="236"/>
      <c r="J204" s="234">
        <f>IF(OR('planning '!$H205="",'planning '!$J205=""),0,IF('planning '!$J205&gt;'planning '!$H205,MEDIAN('planning '!$J205,J$2,J$1)-MEDIAN('planning '!$H205,J$2,J$1),+('planning '!$J205&lt;'planning '!$H205)*(J$2-J$1)+MEDIAN('planning '!$J205,J$1,J$2)-MEDIAN('planning '!$H205,J$1,J$2)))</f>
        <v>0</v>
      </c>
      <c r="K204" s="236"/>
      <c r="M204" s="17"/>
      <c r="N204" s="264"/>
      <c r="O204" s="265" t="s">
        <v>114</v>
      </c>
      <c r="P204" s="266"/>
      <c r="Q204" s="17"/>
    </row>
    <row r="205" spans="2:17" x14ac:dyDescent="0.25">
      <c r="B205" s="231" t="str">
        <f>'planning '!F206</f>
        <v>travail</v>
      </c>
      <c r="C205" s="232">
        <f>C204+1</f>
        <v>43971</v>
      </c>
      <c r="D205" s="233"/>
      <c r="E205" s="240"/>
      <c r="F205" s="235">
        <f>IF(OR('planning '!$H206="",'planning '!$J206=""),0,IF('planning '!$J206&gt;'planning '!$H206,MEDIAN('planning '!$J206,F$2,F$1)-MEDIAN('planning '!$H206,F$2,F$1),+('planning '!$J206&lt;'planning '!$H206)*(F$2-F$1)+MEDIAN('planning '!$J206,F$1,F$2)-MEDIAN('planning '!$H206,F$1,F$2)))-'planning '!AA206</f>
        <v>0</v>
      </c>
      <c r="G205" s="237"/>
      <c r="H205" s="235">
        <f>IF(OR('planning '!$H206="",'planning '!$J206=""),0,IF('planning '!$J206&gt;'planning '!$H206,MEDIAN('planning '!$J206,H$2,H$1)-MEDIAN('planning '!$H206,H$2,H$1),+('planning '!$J206&lt;'planning '!$H206)*(H$2-H$1)+MEDIAN('planning '!$J206,H$1,H$2)-MEDIAN('planning '!$H206,H$1,H$2)))</f>
        <v>0</v>
      </c>
      <c r="I205" s="237"/>
      <c r="J205" s="234">
        <f>IF(OR('planning '!$H206="",'planning '!$J206=""),0,IF('planning '!$J206&gt;'planning '!$H206,MEDIAN('planning '!$J206,J$2,J$1)-MEDIAN('planning '!$H206,J$2,J$1),+('planning '!$J206&lt;'planning '!$H206)*(J$2-J$1)+MEDIAN('planning '!$J206,J$1,J$2)-MEDIAN('planning '!$H206,J$1,J$2)))</f>
        <v>0.38472222222222219</v>
      </c>
      <c r="K205" s="237"/>
      <c r="M205" s="17"/>
      <c r="N205" s="263" t="s">
        <v>117</v>
      </c>
      <c r="O205" s="263" t="s">
        <v>115</v>
      </c>
      <c r="P205" s="263" t="s">
        <v>116</v>
      </c>
      <c r="Q205" s="243" t="s">
        <v>118</v>
      </c>
    </row>
    <row r="206" spans="2:17" x14ac:dyDescent="0.25">
      <c r="B206" s="231" t="str">
        <f>'planning '!F207</f>
        <v>travail</v>
      </c>
      <c r="C206" s="232">
        <f>C205+1</f>
        <v>43972</v>
      </c>
      <c r="D206" s="233"/>
      <c r="E206" s="240"/>
      <c r="F206" s="235">
        <f>IF(OR('planning '!$H207="",'planning '!$J207=""),0,IF('planning '!$J207&gt;'planning '!$H207,MEDIAN('planning '!$J207,F$2,F$1)-MEDIAN('planning '!$H207,F$2,F$1),+('planning '!$J207&lt;'planning '!$H207)*(F$2-F$1)+MEDIAN('planning '!$J207,F$1,F$2)-MEDIAN('planning '!$H207,F$1,F$2)))-'planning '!AA207</f>
        <v>0</v>
      </c>
      <c r="G206" s="237"/>
      <c r="H206" s="235">
        <f>IF(OR('planning '!$H207="",'planning '!$J207=""),0,IF('planning '!$J207&gt;'planning '!$H207,MEDIAN('planning '!$J207,H$2,H$1)-MEDIAN('planning '!$H207,H$2,H$1),+('planning '!$J207&lt;'planning '!$H207)*(H$2-H$1)+MEDIAN('planning '!$J207,H$1,H$2)-MEDIAN('planning '!$H207,H$1,H$2)))</f>
        <v>0</v>
      </c>
      <c r="I206" s="237"/>
      <c r="J206" s="234">
        <f>IF(OR('planning '!$H207="",'planning '!$J207=""),0,IF('planning '!$J207&gt;'planning '!$H207,MEDIAN('planning '!$J207,J$2,J$1)-MEDIAN('planning '!$H207,J$2,J$1),+('planning '!$J207&lt;'planning '!$H207)*(J$2-J$1)+MEDIAN('planning '!$J207,J$1,J$2)-MEDIAN('planning '!$H207,J$1,J$2)))</f>
        <v>0.37777777777777782</v>
      </c>
      <c r="K206" s="237"/>
      <c r="M206" s="231" t="s">
        <v>111</v>
      </c>
      <c r="N206" s="261">
        <f t="shared" ref="N206:Q207" ca="1" si="40">SUMIF(OFFSET($C204:$C211,0,MATCH(N$10,$B$5:$H$5,0)-1,7,1),$K207,OFFSET($B204:$B210,0,MATCH(N$10,$B$5:$H$5,0)-1,7,1))</f>
        <v>0</v>
      </c>
      <c r="O206" s="261">
        <f t="shared" ca="1" si="40"/>
        <v>0</v>
      </c>
      <c r="P206" s="261">
        <f t="shared" ca="1" si="40"/>
        <v>0</v>
      </c>
      <c r="Q206" s="261">
        <f t="shared" ca="1" si="40"/>
        <v>0</v>
      </c>
    </row>
    <row r="207" spans="2:17" x14ac:dyDescent="0.25">
      <c r="B207" s="231" t="str">
        <f>'planning '!F208</f>
        <v>travail</v>
      </c>
      <c r="C207" s="232">
        <f t="shared" ref="C207:C210" si="41">C206+1</f>
        <v>43973</v>
      </c>
      <c r="D207" s="233"/>
      <c r="E207" s="240"/>
      <c r="F207" s="235">
        <f>IF(OR('planning '!$H208="",'planning '!$J208=""),0,IF('planning '!$J208&gt;'planning '!$H208,MEDIAN('planning '!$J208,F$2,F$1)-MEDIAN('planning '!$H208,F$2,F$1),+('planning '!$J208&lt;'planning '!$H208)*(F$2-F$1)+MEDIAN('planning '!$J208,F$1,F$2)-MEDIAN('planning '!$H208,F$1,F$2)))-'planning '!AA208</f>
        <v>0.14583333333333326</v>
      </c>
      <c r="G207" s="237" t="s">
        <v>21</v>
      </c>
      <c r="H207" s="235">
        <f>IF(OR('planning '!$H208="",'planning '!$J208=""),0,IF('planning '!$J208&gt;'planning '!$H208,MEDIAN('planning '!$J208,H$2,H$1)-MEDIAN('planning '!$H208,H$2,H$1),+('planning '!$J208&lt;'planning '!$H208)*(H$2-H$1)+MEDIAN('planning '!$J208,H$1,H$2)-MEDIAN('planning '!$H208,H$1,H$2)))</f>
        <v>5.3472222222222254E-2</v>
      </c>
      <c r="I207" s="237" t="s">
        <v>111</v>
      </c>
      <c r="J207" s="234">
        <f>IF(OR('planning '!$H208="",'planning '!$J208=""),0,IF('planning '!$J208&gt;'planning '!$H208,MEDIAN('planning '!$J208,J$2,J$1)-MEDIAN('planning '!$H208,J$2,J$1),+('planning '!$J208&lt;'planning '!$H208)*(J$2-J$1)+MEDIAN('planning '!$J208,J$1,J$2)-MEDIAN('planning '!$H208,J$1,J$2)))</f>
        <v>0.59930555555555554</v>
      </c>
      <c r="K207" s="237"/>
      <c r="M207" s="231" t="s">
        <v>21</v>
      </c>
      <c r="N207" s="261">
        <f t="shared" ca="1" si="40"/>
        <v>0</v>
      </c>
      <c r="O207" s="261">
        <f t="shared" ca="1" si="40"/>
        <v>0</v>
      </c>
      <c r="P207" s="261">
        <f t="shared" ca="1" si="40"/>
        <v>0</v>
      </c>
      <c r="Q207" s="261">
        <f t="shared" ca="1" si="40"/>
        <v>0</v>
      </c>
    </row>
    <row r="208" spans="2:17" x14ac:dyDescent="0.25">
      <c r="B208" s="231" t="str">
        <f>'planning '!F209</f>
        <v>travail</v>
      </c>
      <c r="C208" s="232">
        <f t="shared" si="41"/>
        <v>43974</v>
      </c>
      <c r="D208" s="233"/>
      <c r="E208" s="240"/>
      <c r="F208" s="235">
        <f>IF(OR('planning '!$H209="",'planning '!$J209=""),0,IF('planning '!$J209&gt;'planning '!$H209,MEDIAN('planning '!$J209,F$2,F$1)-MEDIAN('planning '!$H209,F$2,F$1),+('planning '!$J209&lt;'planning '!$H209)*(F$2-F$1)+MEDIAN('planning '!$J209,F$1,F$2)-MEDIAN('planning '!$H209,F$1,F$2)))-'planning '!AA209</f>
        <v>0</v>
      </c>
      <c r="G208" s="237"/>
      <c r="H208" s="235">
        <f>IF(OR('planning '!$H209="",'planning '!$J209=""),0,IF('planning '!$J209&gt;'planning '!$H209,MEDIAN('planning '!$J209,H$2,H$1)-MEDIAN('planning '!$H209,H$2,H$1),+('planning '!$J209&lt;'planning '!$H209)*(H$2-H$1)+MEDIAN('planning '!$J209,H$1,H$2)-MEDIAN('planning '!$H209,H$1,H$2)))</f>
        <v>0</v>
      </c>
      <c r="I208" s="237"/>
      <c r="J208" s="234">
        <f>IF(OR('planning '!$H209="",'planning '!$J209=""),0,IF('planning '!$J209&gt;'planning '!$H209,MEDIAN('planning '!$J209,J$2,J$1)-MEDIAN('planning '!$H209,J$2,J$1),+('planning '!$J209&lt;'planning '!$H209)*(J$2-J$1)+MEDIAN('planning '!$J209,J$1,J$2)-MEDIAN('planning '!$H209,J$1,J$2)))</f>
        <v>0.21180555555555552</v>
      </c>
      <c r="K208" s="237"/>
      <c r="M208" s="17"/>
      <c r="N208" s="17"/>
      <c r="O208" s="17"/>
      <c r="P208" s="17"/>
      <c r="Q208" s="17"/>
    </row>
    <row r="209" spans="2:17" x14ac:dyDescent="0.25">
      <c r="B209" s="231" t="str">
        <f>'planning '!F210</f>
        <v>off</v>
      </c>
      <c r="C209" s="232">
        <f t="shared" si="41"/>
        <v>43975</v>
      </c>
      <c r="D209" s="233">
        <f>IF(OR('planning '!$H210="",'planning '!$J210=""),0,IF('planning '!$J210&gt;'planning '!$H210,MEDIAN('planning '!$J210,D$2,D$1)-MEDIAN('planning '!$H210,D$2,D$1),+('planning '!$J210&lt;'planning '!$H210)*(D$2-D$1)+MEDIAN('planning '!$J210,D$1,D$2)-MEDIAN('planning '!$H210,D$1,D$2)))-'planning '!V210</f>
        <v>0</v>
      </c>
      <c r="E209" s="240"/>
      <c r="F209" s="235">
        <f>IF(OR('planning '!$H210="",'planning '!$J210=""),0,IF('planning '!$J210&gt;'planning '!$H210,MEDIAN('planning '!$J210,F$2,F$1)-MEDIAN('planning '!$H210,F$2,F$1),+('planning '!$J210&lt;'planning '!$H210)*(F$2-F$1)+MEDIAN('planning '!$J210,F$1,F$2)-MEDIAN('planning '!$H210,F$1,F$2)))-'planning '!AA210</f>
        <v>0</v>
      </c>
      <c r="G209" s="237"/>
      <c r="H209" s="235">
        <f>IF(OR('planning '!$H210="",'planning '!$J210=""),0,IF('planning '!$J210&gt;'planning '!$H210,MEDIAN('planning '!$J210,H$2,H$1)-MEDIAN('planning '!$H210,H$2,H$1),+('planning '!$J210&lt;'planning '!$H210)*(H$2-H$1)+MEDIAN('planning '!$J210,H$1,H$2)-MEDIAN('planning '!$H210,H$1,H$2)))</f>
        <v>0</v>
      </c>
      <c r="I209" s="237"/>
      <c r="J209" s="234">
        <f>IF(OR('planning '!$H210="",'planning '!$J210=""),0,IF('planning '!$J210&gt;'planning '!$H210,MEDIAN('planning '!$J210,J$2,J$1)-MEDIAN('planning '!$H210,J$2,J$1),+('planning '!$J210&lt;'planning '!$H210)*(J$2-J$1)+MEDIAN('planning '!$J210,J$1,J$2)-MEDIAN('planning '!$H210,J$1,J$2)))</f>
        <v>0</v>
      </c>
      <c r="K209" s="237"/>
      <c r="M209" s="17"/>
      <c r="N209" s="17"/>
      <c r="O209" s="17"/>
      <c r="P209" s="17"/>
      <c r="Q209" s="17"/>
    </row>
    <row r="210" spans="2:17" ht="15.75" thickBot="1" x14ac:dyDescent="0.3">
      <c r="B210" s="231" t="str">
        <f>'planning '!F211</f>
        <v>off</v>
      </c>
      <c r="C210" s="232">
        <f t="shared" si="41"/>
        <v>43976</v>
      </c>
      <c r="D210" s="233">
        <f>IF(OR('planning '!$H211="",'planning '!$J211=""),0,IF('planning '!$J211&gt;'planning '!$H211,MEDIAN('planning '!$J211,D$2,D$1)-MEDIAN('planning '!$H211,D$2,D$1),+('planning '!$J211&lt;'planning '!$H211)*(D$2-D$1)+MEDIAN('planning '!$J211,D$1,D$2)-MEDIAN('planning '!$H211,D$1,D$2)))-'planning '!V211</f>
        <v>0</v>
      </c>
      <c r="E210" s="241"/>
      <c r="F210" s="235">
        <f>IF(OR('planning '!$H211="",'planning '!$J211=""),0,IF('planning '!$J211&gt;'planning '!$H211,MEDIAN('planning '!$J211,F$2,F$1)-MEDIAN('planning '!$H211,F$2,F$1),+('planning '!$J211&lt;'planning '!$H211)*(F$2-F$1)+MEDIAN('planning '!$J211,F$1,F$2)-MEDIAN('planning '!$H211,F$1,F$2)))-'planning '!AA211</f>
        <v>0</v>
      </c>
      <c r="G210" s="238"/>
      <c r="H210" s="235">
        <f>IF(OR('planning '!$H211="",'planning '!$J211=""),0,IF('planning '!$J211&gt;'planning '!$H211,MEDIAN('planning '!$J211,H$2,H$1)-MEDIAN('planning '!$H211,H$2,H$1),+('planning '!$J211&lt;'planning '!$H211)*(H$2-H$1)+MEDIAN('planning '!$J211,H$1,H$2)-MEDIAN('planning '!$H211,H$1,H$2)))</f>
        <v>0</v>
      </c>
      <c r="I210" s="238"/>
      <c r="J210" s="234">
        <f>IF(OR('planning '!$H211="",'planning '!$J211=""),0,IF('planning '!$J211&gt;'planning '!$H211,MEDIAN('planning '!$J211,J$2,J$1)-MEDIAN('planning '!$H211,J$2,J$1),+('planning '!$J211&lt;'planning '!$H211)*(J$2-J$1)+MEDIAN('planning '!$J211,J$1,J$2)-MEDIAN('planning '!$H211,J$1,J$2)))</f>
        <v>0</v>
      </c>
      <c r="K210" s="238"/>
      <c r="M210" s="17"/>
      <c r="N210" s="17"/>
      <c r="O210" s="17"/>
      <c r="P210" s="17"/>
      <c r="Q210" s="17"/>
    </row>
    <row r="211" spans="2:17" x14ac:dyDescent="0.25">
      <c r="M211" s="17"/>
      <c r="N211" s="17"/>
      <c r="O211" s="17"/>
      <c r="P211" s="17"/>
      <c r="Q211" s="17"/>
    </row>
    <row r="212" spans="2:17" x14ac:dyDescent="0.25">
      <c r="M212" s="17"/>
      <c r="N212" s="17"/>
      <c r="O212" s="17"/>
      <c r="P212" s="17"/>
      <c r="Q212" s="17"/>
    </row>
    <row r="213" spans="2:17" ht="15.75" thickBot="1" x14ac:dyDescent="0.3">
      <c r="M213" s="17"/>
      <c r="N213" s="17"/>
      <c r="O213" s="17"/>
      <c r="P213" s="17"/>
      <c r="Q213" s="17"/>
    </row>
    <row r="214" spans="2:17" x14ac:dyDescent="0.25">
      <c r="B214" s="231" t="str">
        <f>'planning '!F215</f>
        <v>travail</v>
      </c>
      <c r="C214" s="232">
        <f>'planning '!E215</f>
        <v>43977</v>
      </c>
      <c r="D214" s="233"/>
      <c r="E214" s="239"/>
      <c r="F214" s="235">
        <f>IF(OR('planning '!$H215="",'planning '!$J215=""),0,IF('planning '!$J215&gt;'planning '!$H215,MEDIAN('planning '!$J215,F$2,F$1)-MEDIAN('planning '!$H215,F$2,F$1),+('planning '!$J215&lt;'planning '!$H215)*(F$2-F$1)+MEDIAN('planning '!$J215,F$1,F$2)-MEDIAN('planning '!$H215,F$1,F$2)))-'planning '!AA215</f>
        <v>1.388888888888884E-3</v>
      </c>
      <c r="G214" s="236"/>
      <c r="H214" s="235">
        <f>IF(OR('planning '!$H215="",'planning '!$J215=""),0,IF('planning '!$J215&gt;'planning '!$H215,MEDIAN('planning '!$J215,H$2,H$1)-MEDIAN('planning '!$H215,H$2,H$1),+('planning '!$J215&lt;'planning '!$H215)*(H$2-H$1)+MEDIAN('planning '!$J215,H$1,H$2)-MEDIAN('planning '!$H215,H$1,H$2)))</f>
        <v>0</v>
      </c>
      <c r="I214" s="236"/>
      <c r="J214" s="234">
        <f>IF(OR('planning '!$H215="",'planning '!$J215=""),0,IF('planning '!$J215&gt;'planning '!$H215,MEDIAN('planning '!$J215,J$2,J$1)-MEDIAN('planning '!$H215,J$2,J$1),+('planning '!$J215&lt;'planning '!$H215)*(J$2-J$1)+MEDIAN('planning '!$J215,J$1,J$2)-MEDIAN('planning '!$H215,J$1,J$2)))</f>
        <v>0.39375000000000004</v>
      </c>
      <c r="K214" s="236"/>
      <c r="M214" s="17"/>
      <c r="N214" s="264"/>
      <c r="O214" s="265" t="s">
        <v>114</v>
      </c>
      <c r="P214" s="266"/>
      <c r="Q214" s="17"/>
    </row>
    <row r="215" spans="2:17" x14ac:dyDescent="0.25">
      <c r="B215" s="231" t="str">
        <f>'planning '!F216</f>
        <v>travail</v>
      </c>
      <c r="C215" s="232">
        <f>C214+1</f>
        <v>43978</v>
      </c>
      <c r="D215" s="233"/>
      <c r="E215" s="240"/>
      <c r="F215" s="235">
        <f>IF(OR('planning '!$H216="",'planning '!$J216=""),0,IF('planning '!$J216&gt;'planning '!$H216,MEDIAN('planning '!$J216,F$2,F$1)-MEDIAN('planning '!$H216,F$2,F$1),+('planning '!$J216&lt;'planning '!$H216)*(F$2-F$1)+MEDIAN('planning '!$J216,F$1,F$2)-MEDIAN('planning '!$H216,F$1,F$2)))-'planning '!AA216</f>
        <v>0</v>
      </c>
      <c r="G215" s="237"/>
      <c r="H215" s="235">
        <f>IF(OR('planning '!$H216="",'planning '!$J216=""),0,IF('planning '!$J216&gt;'planning '!$H216,MEDIAN('planning '!$J216,H$2,H$1)-MEDIAN('planning '!$H216,H$2,H$1),+('planning '!$J216&lt;'planning '!$H216)*(H$2-H$1)+MEDIAN('planning '!$J216,H$1,H$2)-MEDIAN('planning '!$H216,H$1,H$2)))</f>
        <v>0</v>
      </c>
      <c r="I215" s="237"/>
      <c r="J215" s="234">
        <f>IF(OR('planning '!$H216="",'planning '!$J216=""),0,IF('planning '!$J216&gt;'planning '!$H216,MEDIAN('planning '!$J216,J$2,J$1)-MEDIAN('planning '!$H216,J$2,J$1),+('planning '!$J216&lt;'planning '!$H216)*(J$2-J$1)+MEDIAN('planning '!$J216,J$1,J$2)-MEDIAN('planning '!$H216,J$1,J$2)))</f>
        <v>0.38472222222222219</v>
      </c>
      <c r="K215" s="237"/>
      <c r="M215" s="17"/>
      <c r="N215" s="263" t="s">
        <v>117</v>
      </c>
      <c r="O215" s="263" t="s">
        <v>115</v>
      </c>
      <c r="P215" s="263" t="s">
        <v>116</v>
      </c>
      <c r="Q215" s="243" t="s">
        <v>118</v>
      </c>
    </row>
    <row r="216" spans="2:17" x14ac:dyDescent="0.25">
      <c r="B216" s="231" t="str">
        <f>'planning '!F217</f>
        <v>travail</v>
      </c>
      <c r="C216" s="232">
        <f>C215+1</f>
        <v>43979</v>
      </c>
      <c r="D216" s="233"/>
      <c r="E216" s="240"/>
      <c r="F216" s="235">
        <f>IF(OR('planning '!$H217="",'planning '!$J217=""),0,IF('planning '!$J217&gt;'planning '!$H217,MEDIAN('planning '!$J217,F$2,F$1)-MEDIAN('planning '!$H217,F$2,F$1),+('planning '!$J217&lt;'planning '!$H217)*(F$2-F$1)+MEDIAN('planning '!$J217,F$1,F$2)-MEDIAN('planning '!$H217,F$1,F$2)))-'planning '!AA217</f>
        <v>8.8194444444444353E-2</v>
      </c>
      <c r="G216" s="237" t="s">
        <v>21</v>
      </c>
      <c r="H216" s="235">
        <f>IF(OR('planning '!$H217="",'planning '!$J217=""),0,IF('planning '!$J217&gt;'planning '!$H217,MEDIAN('planning '!$J217,H$2,H$1)-MEDIAN('planning '!$H217,H$2,H$1),+('planning '!$J217&lt;'planning '!$H217)*(H$2-H$1)+MEDIAN('planning '!$J217,H$1,H$2)-MEDIAN('planning '!$H217,H$1,H$2)))</f>
        <v>0</v>
      </c>
      <c r="I216" s="237"/>
      <c r="J216" s="234">
        <f>IF(OR('planning '!$H217="",'planning '!$J217=""),0,IF('planning '!$J217&gt;'planning '!$H217,MEDIAN('planning '!$J217,J$2,J$1)-MEDIAN('planning '!$H217,J$2,J$1),+('planning '!$J217&lt;'planning '!$H217)*(J$2-J$1)+MEDIAN('planning '!$J217,J$1,J$2)-MEDIAN('planning '!$H217,J$1,J$2)))</f>
        <v>0.48402777777777772</v>
      </c>
      <c r="K216" s="237"/>
      <c r="M216" s="231" t="s">
        <v>111</v>
      </c>
      <c r="N216" s="261">
        <f t="shared" ref="N216:Q217" ca="1" si="42">SUMIF(OFFSET($C214:$C221,0,MATCH(N$10,$B$5:$H$5,0)-1,7,1),$K217,OFFSET($B214:$B220,0,MATCH(N$10,$B$5:$H$5,0)-1,7,1))</f>
        <v>0</v>
      </c>
      <c r="O216" s="261">
        <f t="shared" ca="1" si="42"/>
        <v>0</v>
      </c>
      <c r="P216" s="261">
        <f t="shared" ca="1" si="42"/>
        <v>0</v>
      </c>
      <c r="Q216" s="261">
        <f t="shared" ca="1" si="42"/>
        <v>0</v>
      </c>
    </row>
    <row r="217" spans="2:17" x14ac:dyDescent="0.25">
      <c r="B217" s="231" t="str">
        <f>'planning '!F218</f>
        <v>travail</v>
      </c>
      <c r="C217" s="232">
        <f t="shared" ref="C217:C220" si="43">C216+1</f>
        <v>43980</v>
      </c>
      <c r="D217" s="233"/>
      <c r="E217" s="240"/>
      <c r="F217" s="235">
        <f>IF(OR('planning '!$H218="",'planning '!$J218=""),0,IF('planning '!$J218&gt;'planning '!$H218,MEDIAN('planning '!$J218,F$2,F$1)-MEDIAN('planning '!$H218,F$2,F$1),+('planning '!$J218&lt;'planning '!$H218)*(F$2-F$1)+MEDIAN('planning '!$J218,F$1,F$2)-MEDIAN('planning '!$H218,F$1,F$2)))-'planning '!AA218</f>
        <v>0.14583333333333326</v>
      </c>
      <c r="G217" s="237" t="s">
        <v>21</v>
      </c>
      <c r="H217" s="235">
        <f>IF(OR('planning '!$H218="",'planning '!$J218=""),0,IF('planning '!$J218&gt;'planning '!$H218,MEDIAN('planning '!$J218,H$2,H$1)-MEDIAN('planning '!$H218,H$2,H$1),+('planning '!$J218&lt;'planning '!$H218)*(H$2-H$1)+MEDIAN('planning '!$J218,H$1,H$2)-MEDIAN('planning '!$H218,H$1,H$2)))</f>
        <v>4.7916666666666718E-2</v>
      </c>
      <c r="I217" s="237" t="s">
        <v>111</v>
      </c>
      <c r="J217" s="234">
        <f>IF(OR('planning '!$H218="",'planning '!$J218=""),0,IF('planning '!$J218&gt;'planning '!$H218,MEDIAN('planning '!$J218,J$2,J$1)-MEDIAN('planning '!$H218,J$2,J$1),+('planning '!$J218&lt;'planning '!$H218)*(J$2-J$1)+MEDIAN('planning '!$J218,J$1,J$2)-MEDIAN('planning '!$H218,J$1,J$2)))</f>
        <v>0.58402777777777781</v>
      </c>
      <c r="K217" s="237"/>
      <c r="M217" s="231" t="s">
        <v>21</v>
      </c>
      <c r="N217" s="261">
        <f t="shared" ca="1" si="42"/>
        <v>0</v>
      </c>
      <c r="O217" s="261">
        <f t="shared" ca="1" si="42"/>
        <v>0</v>
      </c>
      <c r="P217" s="261">
        <f t="shared" ca="1" si="42"/>
        <v>0</v>
      </c>
      <c r="Q217" s="261">
        <f t="shared" ca="1" si="42"/>
        <v>0</v>
      </c>
    </row>
    <row r="218" spans="2:17" x14ac:dyDescent="0.25">
      <c r="B218" s="231" t="str">
        <f>'planning '!F219</f>
        <v>travail</v>
      </c>
      <c r="C218" s="232">
        <f t="shared" si="43"/>
        <v>43981</v>
      </c>
      <c r="D218" s="233"/>
      <c r="E218" s="240"/>
      <c r="F218" s="235">
        <f>IF(OR('planning '!$H219="",'planning '!$J219=""),0,IF('planning '!$J219&gt;'planning '!$H219,MEDIAN('planning '!$J219,F$2,F$1)-MEDIAN('planning '!$H219,F$2,F$1),+('planning '!$J219&lt;'planning '!$H219)*(F$2-F$1)+MEDIAN('planning '!$J219,F$1,F$2)-MEDIAN('planning '!$H219,F$1,F$2)))-'planning '!AA219</f>
        <v>0</v>
      </c>
      <c r="G218" s="237"/>
      <c r="H218" s="235">
        <f>IF(OR('planning '!$H219="",'planning '!$J219=""),0,IF('planning '!$J219&gt;'planning '!$H219,MEDIAN('planning '!$J219,H$2,H$1)-MEDIAN('planning '!$H219,H$2,H$1),+('planning '!$J219&lt;'planning '!$H219)*(H$2-H$1)+MEDIAN('planning '!$J219,H$1,H$2)-MEDIAN('planning '!$H219,H$1,H$2)))</f>
        <v>0</v>
      </c>
      <c r="I218" s="237"/>
      <c r="J218" s="234">
        <f>IF(OR('planning '!$H219="",'planning '!$J219=""),0,IF('planning '!$J219&gt;'planning '!$H219,MEDIAN('planning '!$J219,J$2,J$1)-MEDIAN('planning '!$H219,J$2,J$1),+('planning '!$J219&lt;'planning '!$H219)*(J$2-J$1)+MEDIAN('planning '!$J219,J$1,J$2)-MEDIAN('planning '!$H219,J$1,J$2)))</f>
        <v>0.36111111111111116</v>
      </c>
      <c r="K218" s="237"/>
      <c r="M218" s="17"/>
      <c r="N218" s="17"/>
      <c r="O218" s="17"/>
      <c r="P218" s="17"/>
      <c r="Q218" s="17"/>
    </row>
    <row r="219" spans="2:17" x14ac:dyDescent="0.25">
      <c r="B219" s="231" t="str">
        <f>'planning '!F220</f>
        <v>travail</v>
      </c>
      <c r="C219" s="232">
        <f t="shared" si="43"/>
        <v>43982</v>
      </c>
      <c r="D219" s="233">
        <f>IF(OR('planning '!$H220="",'planning '!$J220=""),0,IF('planning '!$J220&gt;'planning '!$H220,MEDIAN('planning '!$J220,D$2,D$1)-MEDIAN('planning '!$H220,D$2,D$1),+('planning '!$J220&lt;'planning '!$H220)*(D$2-D$1)+MEDIAN('planning '!$J220,D$1,D$2)-MEDIAN('planning '!$H220,D$1,D$2)))-'planning '!V220</f>
        <v>0.30000000000000004</v>
      </c>
      <c r="E219" s="240" t="s">
        <v>21</v>
      </c>
      <c r="F219" s="235">
        <f>IF(OR('planning '!$H220="",'planning '!$J220=""),0,IF('planning '!$J220&gt;'planning '!$H220,MEDIAN('planning '!$J220,F$2,F$1)-MEDIAN('planning '!$H220,F$2,F$1),+('planning '!$J220&lt;'planning '!$H220)*(F$2-F$1)+MEDIAN('planning '!$J220,F$1,F$2)-MEDIAN('planning '!$H220,F$1,F$2)))-'planning '!AA220</f>
        <v>1.7361111111111049E-2</v>
      </c>
      <c r="G219" s="237" t="s">
        <v>21</v>
      </c>
      <c r="H219" s="235">
        <f>IF(OR('planning '!$H220="",'planning '!$J220=""),0,IF('planning '!$J220&gt;'planning '!$H220,MEDIAN('planning '!$J220,H$2,H$1)-MEDIAN('planning '!$H220,H$2,H$1),+('planning '!$J220&lt;'planning '!$H220)*(H$2-H$1)+MEDIAN('planning '!$J220,H$1,H$2)-MEDIAN('planning '!$H220,H$1,H$2)))</f>
        <v>0</v>
      </c>
      <c r="I219" s="237"/>
      <c r="J219" s="234">
        <f>IF(OR('planning '!$H220="",'planning '!$J220=""),0,IF('planning '!$J220&gt;'planning '!$H220,MEDIAN('planning '!$J220,J$2,J$1)-MEDIAN('planning '!$H220,J$2,J$1),+('planning '!$J220&lt;'planning '!$H220)*(J$2-J$1)+MEDIAN('planning '!$J220,J$1,J$2)-MEDIAN('planning '!$H220,J$1,J$2)))</f>
        <v>0.37430555555555556</v>
      </c>
      <c r="K219" s="237"/>
      <c r="M219" s="17"/>
      <c r="N219" s="17"/>
      <c r="O219" s="17"/>
      <c r="P219" s="17"/>
      <c r="Q219" s="17"/>
    </row>
    <row r="220" spans="2:17" ht="15.75" thickBot="1" x14ac:dyDescent="0.3">
      <c r="B220" s="231" t="str">
        <f>'planning '!F221</f>
        <v>off</v>
      </c>
      <c r="C220" s="232">
        <f t="shared" si="43"/>
        <v>43983</v>
      </c>
      <c r="D220" s="233">
        <f>IF(OR('planning '!$H221="",'planning '!$J221=""),0,IF('planning '!$J221&gt;'planning '!$H221,MEDIAN('planning '!$J221,D$2,D$1)-MEDIAN('planning '!$H221,D$2,D$1),+('planning '!$J221&lt;'planning '!$H221)*(D$2-D$1)+MEDIAN('planning '!$J221,D$1,D$2)-MEDIAN('planning '!$H221,D$1,D$2)))-'planning '!V221</f>
        <v>0</v>
      </c>
      <c r="E220" s="241"/>
      <c r="F220" s="235">
        <f>IF(OR('planning '!$H221="",'planning '!$J221=""),0,IF('planning '!$J221&gt;'planning '!$H221,MEDIAN('planning '!$J221,F$2,F$1)-MEDIAN('planning '!$H221,F$2,F$1),+('planning '!$J221&lt;'planning '!$H221)*(F$2-F$1)+MEDIAN('planning '!$J221,F$1,F$2)-MEDIAN('planning '!$H221,F$1,F$2)))-'planning '!AA221</f>
        <v>0</v>
      </c>
      <c r="G220" s="238"/>
      <c r="H220" s="235">
        <f>IF(OR('planning '!$H221="",'planning '!$J221=""),0,IF('planning '!$J221&gt;'planning '!$H221,MEDIAN('planning '!$J221,H$2,H$1)-MEDIAN('planning '!$H221,H$2,H$1),+('planning '!$J221&lt;'planning '!$H221)*(H$2-H$1)+MEDIAN('planning '!$J221,H$1,H$2)-MEDIAN('planning '!$H221,H$1,H$2)))</f>
        <v>0</v>
      </c>
      <c r="I220" s="238"/>
      <c r="J220" s="234">
        <f>IF(OR('planning '!$H221="",'planning '!$J221=""),0,IF('planning '!$J221&gt;'planning '!$H221,MEDIAN('planning '!$J221,J$2,J$1)-MEDIAN('planning '!$H221,J$2,J$1),+('planning '!$J221&lt;'planning '!$H221)*(J$2-J$1)+MEDIAN('planning '!$J221,J$1,J$2)-MEDIAN('planning '!$H221,J$1,J$2)))</f>
        <v>0</v>
      </c>
      <c r="K220" s="238"/>
      <c r="M220" s="17"/>
      <c r="N220" s="17"/>
      <c r="O220" s="17"/>
      <c r="P220" s="17"/>
      <c r="Q220" s="17"/>
    </row>
    <row r="221" spans="2:17" x14ac:dyDescent="0.25">
      <c r="M221" s="17"/>
      <c r="N221" s="17"/>
      <c r="O221" s="17"/>
      <c r="P221" s="17"/>
      <c r="Q221" s="17"/>
    </row>
    <row r="222" spans="2:17" x14ac:dyDescent="0.25">
      <c r="M222" s="17"/>
      <c r="N222" s="17"/>
      <c r="O222" s="17"/>
      <c r="P222" s="17"/>
      <c r="Q222" s="17"/>
    </row>
    <row r="223" spans="2:17" ht="15.75" thickBot="1" x14ac:dyDescent="0.3">
      <c r="M223" s="17"/>
      <c r="N223" s="17"/>
      <c r="O223" s="17"/>
      <c r="P223" s="17"/>
      <c r="Q223" s="17"/>
    </row>
    <row r="224" spans="2:17" x14ac:dyDescent="0.25">
      <c r="B224" s="231" t="str">
        <f>'planning '!F225</f>
        <v>travail</v>
      </c>
      <c r="C224" s="232">
        <f>'planning '!E225</f>
        <v>43984</v>
      </c>
      <c r="D224" s="233"/>
      <c r="E224" s="239"/>
      <c r="F224" s="235">
        <f>IF(OR('planning '!$H225="",'planning '!$J225=""),0,IF('planning '!$J225&gt;'planning '!$H225,MEDIAN('planning '!$J225,F$2,F$1)-MEDIAN('planning '!$H225,F$2,F$1),+('planning '!$J225&lt;'planning '!$H225)*(F$2-F$1)+MEDIAN('planning '!$J225,F$1,F$2)-MEDIAN('planning '!$H225,F$1,F$2)))-'planning '!AA225</f>
        <v>0</v>
      </c>
      <c r="G224" s="236"/>
      <c r="H224" s="235">
        <f>IF(OR('planning '!$H225="",'planning '!$J225=""),0,IF('planning '!$J225&gt;'planning '!$H225,MEDIAN('planning '!$J225,H$2,H$1)-MEDIAN('planning '!$H225,H$2,H$1),+('planning '!$J225&lt;'planning '!$H225)*(H$2-H$1)+MEDIAN('planning '!$J225,H$1,H$2)-MEDIAN('planning '!$H225,H$1,H$2)))</f>
        <v>0</v>
      </c>
      <c r="I224" s="236"/>
      <c r="J224" s="234">
        <f>IF(OR('planning '!$H225="",'planning '!$J225=""),0,IF('planning '!$J225&gt;'planning '!$H225,MEDIAN('planning '!$J225,J$2,J$1)-MEDIAN('planning '!$H225,J$2,J$1),+('planning '!$J225&lt;'planning '!$H225)*(J$2-J$1)+MEDIAN('planning '!$J225,J$1,J$2)-MEDIAN('planning '!$H225,J$1,J$2)))</f>
        <v>0.33333333333333337</v>
      </c>
      <c r="K224" s="236"/>
      <c r="M224" s="17"/>
      <c r="N224" s="264"/>
      <c r="O224" s="265" t="s">
        <v>114</v>
      </c>
      <c r="P224" s="266"/>
      <c r="Q224" s="17"/>
    </row>
    <row r="225" spans="2:17" x14ac:dyDescent="0.25">
      <c r="B225" s="231" t="str">
        <f>'planning '!F226</f>
        <v>travail</v>
      </c>
      <c r="C225" s="232">
        <f>C224+1</f>
        <v>43985</v>
      </c>
      <c r="D225" s="233"/>
      <c r="E225" s="240"/>
      <c r="F225" s="235">
        <f>IF(OR('planning '!$H226="",'planning '!$J226=""),0,IF('planning '!$J226&gt;'planning '!$H226,MEDIAN('planning '!$J226,F$2,F$1)-MEDIAN('planning '!$H226,F$2,F$1),+('planning '!$J226&lt;'planning '!$H226)*(F$2-F$1)+MEDIAN('planning '!$J226,F$1,F$2)-MEDIAN('planning '!$H226,F$1,F$2)))-'planning '!AA226</f>
        <v>0</v>
      </c>
      <c r="G225" s="237"/>
      <c r="H225" s="235">
        <f>IF(OR('planning '!$H226="",'planning '!$J226=""),0,IF('planning '!$J226&gt;'planning '!$H226,MEDIAN('planning '!$J226,H$2,H$1)-MEDIAN('planning '!$H226,H$2,H$1),+('planning '!$J226&lt;'planning '!$H226)*(H$2-H$1)+MEDIAN('planning '!$J226,H$1,H$2)-MEDIAN('planning '!$H226,H$1,H$2)))</f>
        <v>0</v>
      </c>
      <c r="I225" s="237"/>
      <c r="J225" s="234">
        <f>IF(OR('planning '!$H226="",'planning '!$J226=""),0,IF('planning '!$J226&gt;'planning '!$H226,MEDIAN('planning '!$J226,J$2,J$1)-MEDIAN('planning '!$H226,J$2,J$1),+('planning '!$J226&lt;'planning '!$H226)*(J$2-J$1)+MEDIAN('planning '!$J226,J$1,J$2)-MEDIAN('planning '!$H226,J$1,J$2)))</f>
        <v>0.30555555555555552</v>
      </c>
      <c r="K225" s="237"/>
      <c r="M225" s="17"/>
      <c r="N225" s="263" t="s">
        <v>117</v>
      </c>
      <c r="O225" s="263" t="s">
        <v>115</v>
      </c>
      <c r="P225" s="263" t="s">
        <v>116</v>
      </c>
      <c r="Q225" s="243" t="s">
        <v>118</v>
      </c>
    </row>
    <row r="226" spans="2:17" x14ac:dyDescent="0.25">
      <c r="B226" s="231" t="str">
        <f>'planning '!F227</f>
        <v>travail</v>
      </c>
      <c r="C226" s="232">
        <f>C225+1</f>
        <v>43986</v>
      </c>
      <c r="D226" s="233"/>
      <c r="E226" s="240"/>
      <c r="F226" s="235">
        <f>IF(OR('planning '!$H227="",'planning '!$J227=""),0,IF('planning '!$J227&gt;'planning '!$H227,MEDIAN('planning '!$J227,F$2,F$1)-MEDIAN('planning '!$H227,F$2,F$1),+('planning '!$J227&lt;'planning '!$H227)*(F$2-F$1)+MEDIAN('planning '!$J227,F$1,F$2)-MEDIAN('planning '!$H227,F$1,F$2)))-'planning '!AA227</f>
        <v>0</v>
      </c>
      <c r="G226" s="237"/>
      <c r="H226" s="235">
        <f>IF(OR('planning '!$H227="",'planning '!$J227=""),0,IF('planning '!$J227&gt;'planning '!$H227,MEDIAN('planning '!$J227,H$2,H$1)-MEDIAN('planning '!$H227,H$2,H$1),+('planning '!$J227&lt;'planning '!$H227)*(H$2-H$1)+MEDIAN('planning '!$J227,H$1,H$2)-MEDIAN('planning '!$H227,H$1,H$2)))</f>
        <v>0</v>
      </c>
      <c r="I226" s="237"/>
      <c r="J226" s="234">
        <f>IF(OR('planning '!$H227="",'planning '!$J227=""),0,IF('planning '!$J227&gt;'planning '!$H227,MEDIAN('planning '!$J227,J$2,J$1)-MEDIAN('planning '!$H227,J$2,J$1),+('planning '!$J227&lt;'planning '!$H227)*(J$2-J$1)+MEDIAN('planning '!$J227,J$1,J$2)-MEDIAN('planning '!$H227,J$1,J$2)))</f>
        <v>0.31666666666666671</v>
      </c>
      <c r="K226" s="237"/>
      <c r="M226" s="231" t="s">
        <v>111</v>
      </c>
      <c r="N226" s="261">
        <f t="shared" ref="N226:Q227" ca="1" si="44">SUMIF(OFFSET($C224:$C231,0,MATCH(N$10,$B$5:$H$5,0)-1,7,1),$K227,OFFSET($B224:$B230,0,MATCH(N$10,$B$5:$H$5,0)-1,7,1))</f>
        <v>0</v>
      </c>
      <c r="O226" s="261">
        <f t="shared" ca="1" si="44"/>
        <v>0</v>
      </c>
      <c r="P226" s="261">
        <f t="shared" ca="1" si="44"/>
        <v>0</v>
      </c>
      <c r="Q226" s="261">
        <f t="shared" ca="1" si="44"/>
        <v>0</v>
      </c>
    </row>
    <row r="227" spans="2:17" x14ac:dyDescent="0.25">
      <c r="B227" s="231" t="str">
        <f>'planning '!F228</f>
        <v>travail</v>
      </c>
      <c r="C227" s="232">
        <f t="shared" ref="C227:C230" si="45">C226+1</f>
        <v>43987</v>
      </c>
      <c r="D227" s="233"/>
      <c r="E227" s="240"/>
      <c r="F227" s="235">
        <f>IF(OR('planning '!$H228="",'planning '!$J228=""),0,IF('planning '!$J228&gt;'planning '!$H228,MEDIAN('planning '!$J228,F$2,F$1)-MEDIAN('planning '!$H228,F$2,F$1),+('planning '!$J228&lt;'planning '!$H228)*(F$2-F$1)+MEDIAN('planning '!$J228,F$1,F$2)-MEDIAN('planning '!$H228,F$1,F$2)))-'planning '!AA228</f>
        <v>0</v>
      </c>
      <c r="G227" s="237"/>
      <c r="H227" s="235">
        <f>IF(OR('planning '!$H228="",'planning '!$J228=""),0,IF('planning '!$J228&gt;'planning '!$H228,MEDIAN('planning '!$J228,H$2,H$1)-MEDIAN('planning '!$H228,H$2,H$1),+('planning '!$J228&lt;'planning '!$H228)*(H$2-H$1)+MEDIAN('planning '!$J228,H$1,H$2)-MEDIAN('planning '!$H228,H$1,H$2)))</f>
        <v>0</v>
      </c>
      <c r="I227" s="237"/>
      <c r="J227" s="234">
        <f>IF(OR('planning '!$H228="",'planning '!$J228=""),0,IF('planning '!$J228&gt;'planning '!$H228,MEDIAN('planning '!$J228,J$2,J$1)-MEDIAN('planning '!$H228,J$2,J$1),+('planning '!$J228&lt;'planning '!$H228)*(J$2-J$1)+MEDIAN('planning '!$J228,J$1,J$2)-MEDIAN('planning '!$H228,J$1,J$2)))</f>
        <v>0.38680555555555551</v>
      </c>
      <c r="K227" s="237"/>
      <c r="M227" s="231" t="s">
        <v>21</v>
      </c>
      <c r="N227" s="261">
        <f t="shared" ca="1" si="44"/>
        <v>0</v>
      </c>
      <c r="O227" s="261">
        <f t="shared" ca="1" si="44"/>
        <v>0</v>
      </c>
      <c r="P227" s="261">
        <f t="shared" ca="1" si="44"/>
        <v>0</v>
      </c>
      <c r="Q227" s="261">
        <f t="shared" ca="1" si="44"/>
        <v>0</v>
      </c>
    </row>
    <row r="228" spans="2:17" x14ac:dyDescent="0.25">
      <c r="B228" s="231" t="str">
        <f>'planning '!F229</f>
        <v>travail</v>
      </c>
      <c r="C228" s="232">
        <f t="shared" si="45"/>
        <v>43988</v>
      </c>
      <c r="D228" s="233"/>
      <c r="E228" s="240"/>
      <c r="F228" s="235">
        <f>IF(OR('planning '!$H229="",'planning '!$J229=""),0,IF('planning '!$J229&gt;'planning '!$H229,MEDIAN('planning '!$J229,F$2,F$1)-MEDIAN('planning '!$H229,F$2,F$1),+('planning '!$J229&lt;'planning '!$H229)*(F$2-F$1)+MEDIAN('planning '!$J229,F$1,F$2)-MEDIAN('planning '!$H229,F$1,F$2)))-'planning '!AA229</f>
        <v>0</v>
      </c>
      <c r="G228" s="237"/>
      <c r="H228" s="235">
        <f>IF(OR('planning '!$H229="",'planning '!$J229=""),0,IF('planning '!$J229&gt;'planning '!$H229,MEDIAN('planning '!$J229,H$2,H$1)-MEDIAN('planning '!$H229,H$2,H$1),+('planning '!$J229&lt;'planning '!$H229)*(H$2-H$1)+MEDIAN('planning '!$J229,H$1,H$2)-MEDIAN('planning '!$H229,H$1,H$2)))</f>
        <v>0</v>
      </c>
      <c r="I228" s="237"/>
      <c r="J228" s="234">
        <f>IF(OR('planning '!$H229="",'planning '!$J229=""),0,IF('planning '!$J229&gt;'planning '!$H229,MEDIAN('planning '!$J229,J$2,J$1)-MEDIAN('planning '!$H229,J$2,J$1),+('planning '!$J229&lt;'planning '!$H229)*(J$2-J$1)+MEDIAN('planning '!$J229,J$1,J$2)-MEDIAN('planning '!$H229,J$1,J$2)))</f>
        <v>0.32986111111111116</v>
      </c>
      <c r="K228" s="237"/>
      <c r="M228" s="17"/>
      <c r="N228" s="17"/>
      <c r="O228" s="17"/>
      <c r="P228" s="17"/>
      <c r="Q228" s="17"/>
    </row>
    <row r="229" spans="2:17" x14ac:dyDescent="0.25">
      <c r="B229" s="231" t="str">
        <f>'planning '!F230</f>
        <v>off</v>
      </c>
      <c r="C229" s="232">
        <f t="shared" si="45"/>
        <v>43989</v>
      </c>
      <c r="D229" s="233">
        <f>IF(OR('planning '!$H230="",'planning '!$J230=""),0,IF('planning '!$J230&gt;'planning '!$H230,MEDIAN('planning '!$J230,D$2,D$1)-MEDIAN('planning '!$H230,D$2,D$1),+('planning '!$J230&lt;'planning '!$H230)*(D$2-D$1)+MEDIAN('planning '!$J230,D$1,D$2)-MEDIAN('planning '!$H230,D$1,D$2)))-'planning '!V230</f>
        <v>0</v>
      </c>
      <c r="E229" s="240"/>
      <c r="F229" s="235">
        <f>IF(OR('planning '!$H230="",'planning '!$J230=""),0,IF('planning '!$J230&gt;'planning '!$H230,MEDIAN('planning '!$J230,F$2,F$1)-MEDIAN('planning '!$H230,F$2,F$1),+('planning '!$J230&lt;'planning '!$H230)*(F$2-F$1)+MEDIAN('planning '!$J230,F$1,F$2)-MEDIAN('planning '!$H230,F$1,F$2)))-'planning '!AA230</f>
        <v>0</v>
      </c>
      <c r="G229" s="237"/>
      <c r="H229" s="235">
        <f>IF(OR('planning '!$H230="",'planning '!$J230=""),0,IF('planning '!$J230&gt;'planning '!$H230,MEDIAN('planning '!$J230,H$2,H$1)-MEDIAN('planning '!$H230,H$2,H$1),+('planning '!$J230&lt;'planning '!$H230)*(H$2-H$1)+MEDIAN('planning '!$J230,H$1,H$2)-MEDIAN('planning '!$H230,H$1,H$2)))</f>
        <v>0</v>
      </c>
      <c r="I229" s="237"/>
      <c r="J229" s="234">
        <f>IF(OR('planning '!$H230="",'planning '!$J230=""),0,IF('planning '!$J230&gt;'planning '!$H230,MEDIAN('planning '!$J230,J$2,J$1)-MEDIAN('planning '!$H230,J$2,J$1),+('planning '!$J230&lt;'planning '!$H230)*(J$2-J$1)+MEDIAN('planning '!$J230,J$1,J$2)-MEDIAN('planning '!$H230,J$1,J$2)))</f>
        <v>0</v>
      </c>
      <c r="K229" s="237"/>
      <c r="M229" s="17"/>
      <c r="N229" s="17"/>
      <c r="O229" s="17"/>
      <c r="P229" s="17"/>
      <c r="Q229" s="17"/>
    </row>
    <row r="230" spans="2:17" ht="15.75" thickBot="1" x14ac:dyDescent="0.3">
      <c r="B230" s="231" t="str">
        <f>'planning '!F231</f>
        <v>off</v>
      </c>
      <c r="C230" s="232">
        <f t="shared" si="45"/>
        <v>43990</v>
      </c>
      <c r="D230" s="233">
        <f>IF(OR('planning '!$H231="",'planning '!$J231=""),0,IF('planning '!$J231&gt;'planning '!$H231,MEDIAN('planning '!$J231,D$2,D$1)-MEDIAN('planning '!$H231,D$2,D$1),+('planning '!$J231&lt;'planning '!$H231)*(D$2-D$1)+MEDIAN('planning '!$J231,D$1,D$2)-MEDIAN('planning '!$H231,D$1,D$2)))-'planning '!V231</f>
        <v>0</v>
      </c>
      <c r="E230" s="241"/>
      <c r="F230" s="235">
        <f>IF(OR('planning '!$H231="",'planning '!$J231=""),0,IF('planning '!$J231&gt;'planning '!$H231,MEDIAN('planning '!$J231,F$2,F$1)-MEDIAN('planning '!$H231,F$2,F$1),+('planning '!$J231&lt;'planning '!$H231)*(F$2-F$1)+MEDIAN('planning '!$J231,F$1,F$2)-MEDIAN('planning '!$H231,F$1,F$2)))-'planning '!AA231</f>
        <v>0</v>
      </c>
      <c r="G230" s="238"/>
      <c r="H230" s="235">
        <f>IF(OR('planning '!$H231="",'planning '!$J231=""),0,IF('planning '!$J231&gt;'planning '!$H231,MEDIAN('planning '!$J231,H$2,H$1)-MEDIAN('planning '!$H231,H$2,H$1),+('planning '!$J231&lt;'planning '!$H231)*(H$2-H$1)+MEDIAN('planning '!$J231,H$1,H$2)-MEDIAN('planning '!$H231,H$1,H$2)))</f>
        <v>0</v>
      </c>
      <c r="I230" s="238"/>
      <c r="J230" s="234">
        <f>IF(OR('planning '!$H231="",'planning '!$J231=""),0,IF('planning '!$J231&gt;'planning '!$H231,MEDIAN('planning '!$J231,J$2,J$1)-MEDIAN('planning '!$H231,J$2,J$1),+('planning '!$J231&lt;'planning '!$H231)*(J$2-J$1)+MEDIAN('planning '!$J231,J$1,J$2)-MEDIAN('planning '!$H231,J$1,J$2)))</f>
        <v>0</v>
      </c>
      <c r="K230" s="238"/>
      <c r="M230" s="17"/>
      <c r="N230" s="17"/>
      <c r="O230" s="17"/>
      <c r="P230" s="17"/>
      <c r="Q230" s="17"/>
    </row>
    <row r="231" spans="2:17" x14ac:dyDescent="0.25">
      <c r="M231" s="17"/>
      <c r="N231" s="17"/>
      <c r="O231" s="17"/>
      <c r="P231" s="17"/>
      <c r="Q231" s="17"/>
    </row>
    <row r="232" spans="2:17" x14ac:dyDescent="0.25">
      <c r="M232" s="17"/>
      <c r="N232" s="17"/>
      <c r="O232" s="17"/>
      <c r="P232" s="17"/>
      <c r="Q232" s="17"/>
    </row>
    <row r="233" spans="2:17" ht="15.75" thickBot="1" x14ac:dyDescent="0.3">
      <c r="M233" s="17"/>
      <c r="N233" s="17"/>
      <c r="O233" s="17"/>
      <c r="P233" s="17"/>
      <c r="Q233" s="17"/>
    </row>
    <row r="234" spans="2:17" x14ac:dyDescent="0.25">
      <c r="B234" s="231" t="str">
        <f>'planning '!F235</f>
        <v>travail</v>
      </c>
      <c r="C234" s="232">
        <f>'planning '!E235</f>
        <v>43991</v>
      </c>
      <c r="D234" s="233"/>
      <c r="E234" s="239"/>
      <c r="F234" s="235">
        <f>IF(OR('planning '!$H235="",'planning '!$J235=""),0,IF('planning '!$J235&gt;'planning '!$H235,MEDIAN('planning '!$J235,F$2,F$1)-MEDIAN('planning '!$H235,F$2,F$1),+('planning '!$J235&lt;'planning '!$H235)*(F$2-F$1)+MEDIAN('planning '!$J235,F$1,F$2)-MEDIAN('planning '!$H235,F$1,F$2)))-'planning '!AA235</f>
        <v>0</v>
      </c>
      <c r="G234" s="236"/>
      <c r="H234" s="235">
        <f>IF(OR('planning '!$H235="",'planning '!$J235=""),0,IF('planning '!$J235&gt;'planning '!$H235,MEDIAN('planning '!$J235,H$2,H$1)-MEDIAN('planning '!$H235,H$2,H$1),+('planning '!$J235&lt;'planning '!$H235)*(H$2-H$1)+MEDIAN('planning '!$J235,H$1,H$2)-MEDIAN('planning '!$H235,H$1,H$2)))</f>
        <v>0</v>
      </c>
      <c r="I234" s="236"/>
      <c r="J234" s="234">
        <f>IF(OR('planning '!$H235="",'planning '!$J235=""),0,IF('planning '!$J235&gt;'planning '!$H235,MEDIAN('planning '!$J235,J$2,J$1)-MEDIAN('planning '!$H235,J$2,J$1),+('planning '!$J235&lt;'planning '!$H235)*(J$2-J$1)+MEDIAN('planning '!$J235,J$1,J$2)-MEDIAN('planning '!$H235,J$1,J$2)))</f>
        <v>0.33333333333333337</v>
      </c>
      <c r="K234" s="236"/>
      <c r="M234" s="17"/>
      <c r="N234" s="264"/>
      <c r="O234" s="265" t="s">
        <v>114</v>
      </c>
      <c r="P234" s="266"/>
      <c r="Q234" s="17"/>
    </row>
    <row r="235" spans="2:17" x14ac:dyDescent="0.25">
      <c r="B235" s="231" t="str">
        <f>'planning '!F236</f>
        <v>travail</v>
      </c>
      <c r="C235" s="232">
        <f>C234+1</f>
        <v>43992</v>
      </c>
      <c r="D235" s="233"/>
      <c r="E235" s="240"/>
      <c r="F235" s="235">
        <f>IF(OR('planning '!$H236="",'planning '!$J236=""),0,IF('planning '!$J236&gt;'planning '!$H236,MEDIAN('planning '!$J236,F$2,F$1)-MEDIAN('planning '!$H236,F$2,F$1),+('planning '!$J236&lt;'planning '!$H236)*(F$2-F$1)+MEDIAN('planning '!$J236,F$1,F$2)-MEDIAN('planning '!$H236,F$1,F$2)))-'planning '!AA236</f>
        <v>0.14583333333333326</v>
      </c>
      <c r="G235" s="237" t="s">
        <v>21</v>
      </c>
      <c r="H235" s="235">
        <f>IF(OR('planning '!$H236="",'planning '!$J236=""),0,IF('planning '!$J236&gt;'planning '!$H236,MEDIAN('planning '!$J236,H$2,H$1)-MEDIAN('planning '!$H236,H$2,H$1),+('planning '!$J236&lt;'planning '!$H236)*(H$2-H$1)+MEDIAN('planning '!$J236,H$1,H$2)-MEDIAN('planning '!$H236,H$1,H$2)))</f>
        <v>4.1666666666666741E-2</v>
      </c>
      <c r="I235" s="237" t="s">
        <v>111</v>
      </c>
      <c r="J235" s="234">
        <f>IF(OR('planning '!$H236="",'planning '!$J236=""),0,IF('planning '!$J236&gt;'planning '!$H236,MEDIAN('planning '!$J236,J$2,J$1)-MEDIAN('planning '!$H236,J$2,J$1),+('planning '!$J236&lt;'planning '!$H236)*(J$2-J$1)+MEDIAN('planning '!$J236,J$1,J$2)-MEDIAN('planning '!$H236,J$1,J$2)))</f>
        <v>0.58263888888888893</v>
      </c>
      <c r="K235" s="237"/>
      <c r="M235" s="17"/>
      <c r="N235" s="263" t="s">
        <v>117</v>
      </c>
      <c r="O235" s="263" t="s">
        <v>115</v>
      </c>
      <c r="P235" s="263" t="s">
        <v>116</v>
      </c>
      <c r="Q235" s="243" t="s">
        <v>118</v>
      </c>
    </row>
    <row r="236" spans="2:17" x14ac:dyDescent="0.25">
      <c r="B236" s="231" t="str">
        <f>'planning '!F237</f>
        <v>travail</v>
      </c>
      <c r="C236" s="232">
        <f>C235+1</f>
        <v>43993</v>
      </c>
      <c r="D236" s="233"/>
      <c r="E236" s="240"/>
      <c r="F236" s="235">
        <f>IF(OR('planning '!$H237="",'planning '!$J237=""),0,IF('planning '!$J237&gt;'planning '!$H237,MEDIAN('planning '!$J237,F$2,F$1)-MEDIAN('planning '!$H237,F$2,F$1),+('planning '!$J237&lt;'planning '!$H237)*(F$2-F$1)+MEDIAN('planning '!$J237,F$1,F$2)-MEDIAN('planning '!$H237,F$1,F$2)))-'planning '!AA237</f>
        <v>0.14583333333333326</v>
      </c>
      <c r="G236" s="237" t="s">
        <v>21</v>
      </c>
      <c r="H236" s="235">
        <f>IF(OR('planning '!$H237="",'planning '!$J237=""),0,IF('planning '!$J237&gt;'planning '!$H237,MEDIAN('planning '!$J237,H$2,H$1)-MEDIAN('planning '!$H237,H$2,H$1),+('planning '!$J237&lt;'planning '!$H237)*(H$2-H$1)+MEDIAN('planning '!$J237,H$1,H$2)-MEDIAN('planning '!$H237,H$1,H$2)))</f>
        <v>0</v>
      </c>
      <c r="I236" s="237"/>
      <c r="J236" s="234">
        <f>IF(OR('planning '!$H237="",'planning '!$J237=""),0,IF('planning '!$J237&gt;'planning '!$H237,MEDIAN('planning '!$J237,J$2,J$1)-MEDIAN('planning '!$H237,J$2,J$1),+('planning '!$J237&lt;'planning '!$H237)*(J$2-J$1)+MEDIAN('planning '!$J237,J$1,J$2)-MEDIAN('planning '!$H237,J$1,J$2)))</f>
        <v>0.375</v>
      </c>
      <c r="K236" s="237"/>
      <c r="M236" s="231" t="s">
        <v>111</v>
      </c>
      <c r="N236" s="261">
        <f t="shared" ref="N236:Q237" ca="1" si="46">SUMIF(OFFSET($C234:$C241,0,MATCH(N$10,$B$5:$H$5,0)-1,7,1),$K237,OFFSET($B234:$B240,0,MATCH(N$10,$B$5:$H$5,0)-1,7,1))</f>
        <v>0</v>
      </c>
      <c r="O236" s="261">
        <f t="shared" ca="1" si="46"/>
        <v>0</v>
      </c>
      <c r="P236" s="261">
        <f t="shared" ca="1" si="46"/>
        <v>0</v>
      </c>
      <c r="Q236" s="261">
        <f t="shared" ca="1" si="46"/>
        <v>0</v>
      </c>
    </row>
    <row r="237" spans="2:17" x14ac:dyDescent="0.25">
      <c r="B237" s="231" t="str">
        <f>'planning '!F238</f>
        <v>travail</v>
      </c>
      <c r="C237" s="232">
        <f t="shared" ref="C237:C240" si="47">C236+1</f>
        <v>43994</v>
      </c>
      <c r="D237" s="233"/>
      <c r="E237" s="240"/>
      <c r="F237" s="235">
        <f>IF(OR('planning '!$H238="",'planning '!$J238=""),0,IF('planning '!$J238&gt;'planning '!$H238,MEDIAN('planning '!$J238,F$2,F$1)-MEDIAN('planning '!$H238,F$2,F$1),+('planning '!$J238&lt;'planning '!$H238)*(F$2-F$1)+MEDIAN('planning '!$J238,F$1,F$2)-MEDIAN('planning '!$H238,F$1,F$2)))-'planning '!AA238</f>
        <v>0.14583333333333326</v>
      </c>
      <c r="G237" s="237" t="s">
        <v>21</v>
      </c>
      <c r="H237" s="235">
        <f>IF(OR('planning '!$H238="",'planning '!$J238=""),0,IF('planning '!$J238&gt;'planning '!$H238,MEDIAN('planning '!$J238,H$2,H$1)-MEDIAN('planning '!$H238,H$2,H$1),+('planning '!$J238&lt;'planning '!$H238)*(H$2-H$1)+MEDIAN('planning '!$J238,H$1,H$2)-MEDIAN('planning '!$H238,H$1,H$2)))</f>
        <v>6.25E-2</v>
      </c>
      <c r="I237" s="237" t="s">
        <v>111</v>
      </c>
      <c r="J237" s="234">
        <f>IF(OR('planning '!$H238="",'planning '!$J238=""),0,IF('planning '!$J238&gt;'planning '!$H238,MEDIAN('planning '!$J238,J$2,J$1)-MEDIAN('planning '!$H238,J$2,J$1),+('planning '!$J238&lt;'planning '!$H238)*(J$2-J$1)+MEDIAN('planning '!$J238,J$1,J$2)-MEDIAN('planning '!$H238,J$1,J$2)))</f>
        <v>0.59583333333333333</v>
      </c>
      <c r="K237" s="237"/>
      <c r="M237" s="231" t="s">
        <v>21</v>
      </c>
      <c r="N237" s="261">
        <f t="shared" ca="1" si="46"/>
        <v>0</v>
      </c>
      <c r="O237" s="261">
        <f t="shared" ca="1" si="46"/>
        <v>0</v>
      </c>
      <c r="P237" s="261">
        <f t="shared" ca="1" si="46"/>
        <v>0</v>
      </c>
      <c r="Q237" s="261">
        <f t="shared" ca="1" si="46"/>
        <v>0</v>
      </c>
    </row>
    <row r="238" spans="2:17" x14ac:dyDescent="0.25">
      <c r="B238" s="231" t="str">
        <f>'planning '!F239</f>
        <v>travail</v>
      </c>
      <c r="C238" s="232">
        <f t="shared" si="47"/>
        <v>43995</v>
      </c>
      <c r="D238" s="233"/>
      <c r="E238" s="240"/>
      <c r="F238" s="235">
        <f>IF(OR('planning '!$H239="",'planning '!$J239=""),0,IF('planning '!$J239&gt;'planning '!$H239,MEDIAN('planning '!$J239,F$2,F$1)-MEDIAN('planning '!$H239,F$2,F$1),+('planning '!$J239&lt;'planning '!$H239)*(F$2-F$1)+MEDIAN('planning '!$J239,F$1,F$2)-MEDIAN('planning '!$H239,F$1,F$2)))-'planning '!AA239</f>
        <v>0.125</v>
      </c>
      <c r="G238" s="237" t="s">
        <v>21</v>
      </c>
      <c r="H238" s="235">
        <f>IF(OR('planning '!$H239="",'planning '!$J239=""),0,IF('planning '!$J239&gt;'planning '!$H239,MEDIAN('planning '!$J239,H$2,H$1)-MEDIAN('planning '!$H239,H$2,H$1),+('planning '!$J239&lt;'planning '!$H239)*(H$2-H$1)+MEDIAN('planning '!$J239,H$1,H$2)-MEDIAN('planning '!$H239,H$1,H$2)))</f>
        <v>0</v>
      </c>
      <c r="I238" s="237"/>
      <c r="J238" s="234">
        <f>IF(OR('planning '!$H239="",'planning '!$J239=""),0,IF('planning '!$J239&gt;'planning '!$H239,MEDIAN('planning '!$J239,J$2,J$1)-MEDIAN('planning '!$H239,J$2,J$1),+('planning '!$J239&lt;'planning '!$H239)*(J$2-J$1)+MEDIAN('planning '!$J239,J$1,J$2)-MEDIAN('planning '!$H239,J$1,J$2)))</f>
        <v>0.38611111111111118</v>
      </c>
      <c r="K238" s="237"/>
      <c r="M238" s="17"/>
      <c r="N238" s="17"/>
      <c r="O238" s="17"/>
      <c r="P238" s="17"/>
      <c r="Q238" s="17"/>
    </row>
    <row r="239" spans="2:17" x14ac:dyDescent="0.25">
      <c r="B239" s="231" t="str">
        <f>'planning '!F240</f>
        <v>travail</v>
      </c>
      <c r="C239" s="232">
        <f t="shared" si="47"/>
        <v>43996</v>
      </c>
      <c r="D239" s="233">
        <f>IF(OR('planning '!$H240="",'planning '!$J240=""),0,IF('planning '!$J240&gt;'planning '!$H240,MEDIAN('planning '!$J240,D$2,D$1)-MEDIAN('planning '!$H240,D$2,D$1),+('planning '!$J240&lt;'planning '!$H240)*(D$2-D$1)+MEDIAN('planning '!$J240,D$1,D$2)-MEDIAN('planning '!$H240,D$1,D$2)))-'planning '!V240</f>
        <v>0.20833333333333337</v>
      </c>
      <c r="E239" s="240" t="s">
        <v>21</v>
      </c>
      <c r="F239" s="235">
        <f>IF(OR('planning '!$H240="",'planning '!$J240=""),0,IF('planning '!$J240&gt;'planning '!$H240,MEDIAN('planning '!$J240,F$2,F$1)-MEDIAN('planning '!$H240,F$2,F$1),+('planning '!$J240&lt;'planning '!$H240)*(F$2-F$1)+MEDIAN('planning '!$J240,F$1,F$2)-MEDIAN('planning '!$H240,F$1,F$2)))-'planning '!AA240</f>
        <v>0.14583333333333326</v>
      </c>
      <c r="G239" s="237" t="s">
        <v>21</v>
      </c>
      <c r="H239" s="235">
        <f>IF(OR('planning '!$H240="",'planning '!$J240=""),0,IF('planning '!$J240&gt;'planning '!$H240,MEDIAN('planning '!$J240,H$2,H$1)-MEDIAN('planning '!$H240,H$2,H$1),+('planning '!$J240&lt;'planning '!$H240)*(H$2-H$1)+MEDIAN('planning '!$J240,H$1,H$2)-MEDIAN('planning '!$H240,H$1,H$2)))</f>
        <v>8.333333333333337E-2</v>
      </c>
      <c r="I239" s="237" t="s">
        <v>111</v>
      </c>
      <c r="J239" s="234">
        <f>IF(OR('planning '!$H240="",'planning '!$J240=""),0,IF('planning '!$J240&gt;'planning '!$H240,MEDIAN('planning '!$J240,J$2,J$1)-MEDIAN('planning '!$H240,J$2,J$1),+('planning '!$J240&lt;'planning '!$H240)*(J$2-J$1)+MEDIAN('planning '!$J240,J$1,J$2)-MEDIAN('planning '!$H240,J$1,J$2)))</f>
        <v>-1.0625</v>
      </c>
      <c r="K239" s="237" t="s">
        <v>111</v>
      </c>
      <c r="M239" s="17"/>
      <c r="N239" s="17"/>
      <c r="O239" s="17"/>
      <c r="P239" s="17"/>
      <c r="Q239" s="17"/>
    </row>
    <row r="240" spans="2:17" ht="15.75" thickBot="1" x14ac:dyDescent="0.3">
      <c r="B240" s="231" t="str">
        <f>'planning '!F241</f>
        <v>off</v>
      </c>
      <c r="C240" s="232">
        <f t="shared" si="47"/>
        <v>43997</v>
      </c>
      <c r="D240" s="233">
        <f>IF(OR('planning '!$H241="",'planning '!$J241=""),0,IF('planning '!$J241&gt;'planning '!$H241,MEDIAN('planning '!$J241,D$2,D$1)-MEDIAN('planning '!$H241,D$2,D$1),+('planning '!$J241&lt;'planning '!$H241)*(D$2-D$1)+MEDIAN('planning '!$J241,D$1,D$2)-MEDIAN('planning '!$H241,D$1,D$2)))-'planning '!V241</f>
        <v>0</v>
      </c>
      <c r="E240" s="241"/>
      <c r="F240" s="235">
        <f>IF(OR('planning '!$H241="",'planning '!$J241=""),0,IF('planning '!$J241&gt;'planning '!$H241,MEDIAN('planning '!$J241,F$2,F$1)-MEDIAN('planning '!$H241,F$2,F$1),+('planning '!$J241&lt;'planning '!$H241)*(F$2-F$1)+MEDIAN('planning '!$J241,F$1,F$2)-MEDIAN('planning '!$H241,F$1,F$2)))-'planning '!AA241</f>
        <v>0</v>
      </c>
      <c r="G240" s="238"/>
      <c r="H240" s="235">
        <f>IF(OR('planning '!$H241="",'planning '!$J241=""),0,IF('planning '!$J241&gt;'planning '!$H241,MEDIAN('planning '!$J241,H$2,H$1)-MEDIAN('planning '!$H241,H$2,H$1),+('planning '!$J241&lt;'planning '!$H241)*(H$2-H$1)+MEDIAN('planning '!$J241,H$1,H$2)-MEDIAN('planning '!$H241,H$1,H$2)))</f>
        <v>0</v>
      </c>
      <c r="I240" s="238"/>
      <c r="J240" s="234">
        <f>IF(OR('planning '!$H241="",'planning '!$J241=""),0,IF('planning '!$J241&gt;'planning '!$H241,MEDIAN('planning '!$J241,J$2,J$1)-MEDIAN('planning '!$H241,J$2,J$1),+('planning '!$J241&lt;'planning '!$H241)*(J$2-J$1)+MEDIAN('planning '!$J241,J$1,J$2)-MEDIAN('planning '!$H241,J$1,J$2)))</f>
        <v>0</v>
      </c>
      <c r="K240" s="238"/>
      <c r="M240" s="17"/>
      <c r="N240" s="17"/>
      <c r="O240" s="17"/>
      <c r="P240" s="17"/>
      <c r="Q240" s="17"/>
    </row>
    <row r="241" spans="2:17" x14ac:dyDescent="0.25">
      <c r="M241" s="17"/>
      <c r="N241" s="17"/>
      <c r="O241" s="17"/>
      <c r="P241" s="17"/>
      <c r="Q241" s="17"/>
    </row>
    <row r="242" spans="2:17" x14ac:dyDescent="0.25">
      <c r="M242" s="17"/>
      <c r="N242" s="17"/>
      <c r="O242" s="17"/>
      <c r="P242" s="17"/>
      <c r="Q242" s="17"/>
    </row>
    <row r="243" spans="2:17" ht="15.75" thickBot="1" x14ac:dyDescent="0.3">
      <c r="M243" s="17"/>
      <c r="N243" s="17"/>
      <c r="O243" s="17"/>
      <c r="P243" s="17"/>
      <c r="Q243" s="17"/>
    </row>
    <row r="244" spans="2:17" x14ac:dyDescent="0.25">
      <c r="B244" s="231" t="str">
        <f>'planning '!F245</f>
        <v>off</v>
      </c>
      <c r="C244" s="232">
        <f>'planning '!E245</f>
        <v>43998</v>
      </c>
      <c r="D244" s="233"/>
      <c r="E244" s="239"/>
      <c r="F244" s="235">
        <f>IF(OR('planning '!$H245="",'planning '!$J245=""),0,IF('planning '!$J245&gt;'planning '!$H245,MEDIAN('planning '!$J245,F$2,F$1)-MEDIAN('planning '!$H245,F$2,F$1),+('planning '!$J245&lt;'planning '!$H245)*(F$2-F$1)+MEDIAN('planning '!$J245,F$1,F$2)-MEDIAN('planning '!$H245,F$1,F$2)))-'planning '!AA245</f>
        <v>0</v>
      </c>
      <c r="G244" s="236"/>
      <c r="H244" s="235">
        <f>IF(OR('planning '!$H245="",'planning '!$J245=""),0,IF('planning '!$J245&gt;'planning '!$H245,MEDIAN('planning '!$J245,H$2,H$1)-MEDIAN('planning '!$H245,H$2,H$1),+('planning '!$J245&lt;'planning '!$H245)*(H$2-H$1)+MEDIAN('planning '!$J245,H$1,H$2)-MEDIAN('planning '!$H245,H$1,H$2)))</f>
        <v>0</v>
      </c>
      <c r="I244" s="236"/>
      <c r="J244" s="234">
        <f>IF(OR('planning '!$H245="",'planning '!$J245=""),0,IF('planning '!$J245&gt;'planning '!$H245,MEDIAN('planning '!$J245,J$2,J$1)-MEDIAN('planning '!$H245,J$2,J$1),+('planning '!$J245&lt;'planning '!$H245)*(J$2-J$1)+MEDIAN('planning '!$J245,J$1,J$2)-MEDIAN('planning '!$H245,J$1,J$2)))</f>
        <v>0</v>
      </c>
      <c r="K244" s="236"/>
      <c r="M244" s="17"/>
      <c r="N244" s="264"/>
      <c r="O244" s="265" t="s">
        <v>114</v>
      </c>
      <c r="P244" s="266"/>
      <c r="Q244" s="17"/>
    </row>
    <row r="245" spans="2:17" x14ac:dyDescent="0.25">
      <c r="B245" s="231" t="str">
        <f>'planning '!F246</f>
        <v>travail</v>
      </c>
      <c r="C245" s="232">
        <f>C244+1</f>
        <v>43999</v>
      </c>
      <c r="D245" s="233"/>
      <c r="E245" s="240"/>
      <c r="F245" s="235">
        <f>IF(OR('planning '!$H246="",'planning '!$J246=""),0,IF('planning '!$J246&gt;'planning '!$H246,MEDIAN('planning '!$J246,F$2,F$1)-MEDIAN('planning '!$H246,F$2,F$1),+('planning '!$J246&lt;'planning '!$H246)*(F$2-F$1)+MEDIAN('planning '!$J246,F$1,F$2)-MEDIAN('planning '!$H246,F$1,F$2)))-'planning '!AA246</f>
        <v>0.14583333333333326</v>
      </c>
      <c r="G245" s="237" t="s">
        <v>21</v>
      </c>
      <c r="H245" s="235">
        <f>IF(OR('planning '!$H246="",'planning '!$J246=""),0,IF('planning '!$J246&gt;'planning '!$H246,MEDIAN('planning '!$J246,H$2,H$1)-MEDIAN('planning '!$H246,H$2,H$1),+('planning '!$J246&lt;'planning '!$H246)*(H$2-H$1)+MEDIAN('planning '!$J246,H$1,H$2)-MEDIAN('planning '!$H246,H$1,H$2)))</f>
        <v>3.8194444444444531E-2</v>
      </c>
      <c r="I245" s="237" t="s">
        <v>111</v>
      </c>
      <c r="J245" s="234">
        <f>IF(OR('planning '!$H246="",'planning '!$J246=""),0,IF('planning '!$J246&gt;'planning '!$H246,MEDIAN('planning '!$J246,J$2,J$1)-MEDIAN('planning '!$H246,J$2,J$1),+('planning '!$J246&lt;'planning '!$H246)*(J$2-J$1)+MEDIAN('planning '!$J246,J$1,J$2)-MEDIAN('planning '!$H246,J$1,J$2)))</f>
        <v>0.5708333333333333</v>
      </c>
      <c r="K245" s="237"/>
      <c r="M245" s="17"/>
      <c r="N245" s="263" t="s">
        <v>117</v>
      </c>
      <c r="O245" s="263" t="s">
        <v>115</v>
      </c>
      <c r="P245" s="263" t="s">
        <v>116</v>
      </c>
      <c r="Q245" s="243" t="s">
        <v>118</v>
      </c>
    </row>
    <row r="246" spans="2:17" x14ac:dyDescent="0.25">
      <c r="B246" s="231" t="str">
        <f>'planning '!F247</f>
        <v>travail</v>
      </c>
      <c r="C246" s="232">
        <f>C245+1</f>
        <v>44000</v>
      </c>
      <c r="D246" s="233"/>
      <c r="E246" s="240"/>
      <c r="F246" s="235">
        <f>IF(OR('planning '!$H247="",'planning '!$J247=""),0,IF('planning '!$J247&gt;'planning '!$H247,MEDIAN('planning '!$J247,F$2,F$1)-MEDIAN('planning '!$H247,F$2,F$1),+('planning '!$J247&lt;'planning '!$H247)*(F$2-F$1)+MEDIAN('planning '!$J247,F$1,F$2)-MEDIAN('planning '!$H247,F$1,F$2)))-'planning '!AA247</f>
        <v>9.7222222222221877E-3</v>
      </c>
      <c r="G246" s="237" t="s">
        <v>21</v>
      </c>
      <c r="H246" s="235">
        <f>IF(OR('planning '!$H247="",'planning '!$J247=""),0,IF('planning '!$J247&gt;'planning '!$H247,MEDIAN('planning '!$J247,H$2,H$1)-MEDIAN('planning '!$H247,H$2,H$1),+('planning '!$J247&lt;'planning '!$H247)*(H$2-H$1)+MEDIAN('planning '!$J247,H$1,H$2)-MEDIAN('planning '!$H247,H$1,H$2)))</f>
        <v>0</v>
      </c>
      <c r="I246" s="237"/>
      <c r="J246" s="234">
        <f>IF(OR('planning '!$H247="",'planning '!$J247=""),0,IF('planning '!$J247&gt;'planning '!$H247,MEDIAN('planning '!$J247,J$2,J$1)-MEDIAN('planning '!$H247,J$2,J$1),+('planning '!$J247&lt;'planning '!$H247)*(J$2-J$1)+MEDIAN('planning '!$J247,J$1,J$2)-MEDIAN('planning '!$H247,J$1,J$2)))</f>
        <v>0.36249999999999999</v>
      </c>
      <c r="K246" s="237"/>
      <c r="M246" s="231" t="s">
        <v>111</v>
      </c>
      <c r="N246" s="261">
        <f t="shared" ref="N246:Q247" ca="1" si="48">SUMIF(OFFSET($C244:$C251,0,MATCH(N$10,$B$5:$H$5,0)-1,7,1),$K247,OFFSET($B244:$B250,0,MATCH(N$10,$B$5:$H$5,0)-1,7,1))</f>
        <v>0</v>
      </c>
      <c r="O246" s="261">
        <f t="shared" ca="1" si="48"/>
        <v>0</v>
      </c>
      <c r="P246" s="261">
        <f t="shared" ca="1" si="48"/>
        <v>0</v>
      </c>
      <c r="Q246" s="261">
        <f t="shared" ca="1" si="48"/>
        <v>0</v>
      </c>
    </row>
    <row r="247" spans="2:17" x14ac:dyDescent="0.25">
      <c r="B247" s="231" t="str">
        <f>'planning '!F248</f>
        <v>travail</v>
      </c>
      <c r="C247" s="232">
        <f t="shared" ref="C247:C250" si="49">C246+1</f>
        <v>44001</v>
      </c>
      <c r="D247" s="233"/>
      <c r="E247" s="240"/>
      <c r="F247" s="235">
        <f>IF(OR('planning '!$H248="",'planning '!$J248=""),0,IF('planning '!$J248&gt;'planning '!$H248,MEDIAN('planning '!$J248,F$2,F$1)-MEDIAN('planning '!$H248,F$2,F$1),+('planning '!$J248&lt;'planning '!$H248)*(F$2-F$1)+MEDIAN('planning '!$J248,F$1,F$2)-MEDIAN('planning '!$H248,F$1,F$2)))-'planning '!AA248</f>
        <v>0.11805555555555547</v>
      </c>
      <c r="G247" s="237" t="s">
        <v>21</v>
      </c>
      <c r="H247" s="235">
        <f>IF(OR('planning '!$H248="",'planning '!$J248=""),0,IF('planning '!$J248&gt;'planning '!$H248,MEDIAN('planning '!$J248,H$2,H$1)-MEDIAN('planning '!$H248,H$2,H$1),+('planning '!$J248&lt;'planning '!$H248)*(H$2-H$1)+MEDIAN('planning '!$J248,H$1,H$2)-MEDIAN('planning '!$H248,H$1,H$2)))</f>
        <v>0</v>
      </c>
      <c r="I247" s="237"/>
      <c r="J247" s="234">
        <f>IF(OR('planning '!$H248="",'planning '!$J248=""),0,IF('planning '!$J248&gt;'planning '!$H248,MEDIAN('planning '!$J248,J$2,J$1)-MEDIAN('planning '!$H248,J$2,J$1),+('planning '!$J248&lt;'planning '!$H248)*(J$2-J$1)+MEDIAN('planning '!$J248,J$1,J$2)-MEDIAN('planning '!$H248,J$1,J$2)))</f>
        <v>0.50902777777777775</v>
      </c>
      <c r="K247" s="237"/>
      <c r="M247" s="231" t="s">
        <v>21</v>
      </c>
      <c r="N247" s="261">
        <f t="shared" ca="1" si="48"/>
        <v>0</v>
      </c>
      <c r="O247" s="261">
        <f t="shared" ca="1" si="48"/>
        <v>0</v>
      </c>
      <c r="P247" s="261">
        <f t="shared" ca="1" si="48"/>
        <v>0</v>
      </c>
      <c r="Q247" s="261">
        <f t="shared" ca="1" si="48"/>
        <v>0</v>
      </c>
    </row>
    <row r="248" spans="2:17" x14ac:dyDescent="0.25">
      <c r="B248" s="231" t="str">
        <f>'planning '!F249</f>
        <v>travail</v>
      </c>
      <c r="C248" s="232">
        <f t="shared" si="49"/>
        <v>44002</v>
      </c>
      <c r="D248" s="233"/>
      <c r="E248" s="240"/>
      <c r="F248" s="235">
        <f>IF(OR('planning '!$H249="",'planning '!$J249=""),0,IF('planning '!$J249&gt;'planning '!$H249,MEDIAN('planning '!$J249,F$2,F$1)-MEDIAN('planning '!$H249,F$2,F$1),+('planning '!$J249&lt;'planning '!$H249)*(F$2-F$1)+MEDIAN('planning '!$J249,F$1,F$2)-MEDIAN('planning '!$H249,F$1,F$2)))-'planning '!AA249</f>
        <v>0.10972222222222217</v>
      </c>
      <c r="G248" s="237" t="s">
        <v>21</v>
      </c>
      <c r="H248" s="235">
        <f>IF(OR('planning '!$H249="",'planning '!$J249=""),0,IF('planning '!$J249&gt;'planning '!$H249,MEDIAN('planning '!$J249,H$2,H$1)-MEDIAN('planning '!$H249,H$2,H$1),+('planning '!$J249&lt;'planning '!$H249)*(H$2-H$1)+MEDIAN('planning '!$J249,H$1,H$2)-MEDIAN('planning '!$H249,H$1,H$2)))</f>
        <v>0</v>
      </c>
      <c r="I248" s="237"/>
      <c r="J248" s="234">
        <f>IF(OR('planning '!$H249="",'planning '!$J249=""),0,IF('planning '!$J249&gt;'planning '!$H249,MEDIAN('planning '!$J249,J$2,J$1)-MEDIAN('planning '!$H249,J$2,J$1),+('planning '!$J249&lt;'planning '!$H249)*(J$2-J$1)+MEDIAN('planning '!$J249,J$1,J$2)-MEDIAN('planning '!$H249,J$1,J$2)))</f>
        <v>0.50555555555555554</v>
      </c>
      <c r="K248" s="237"/>
      <c r="M248" s="17"/>
      <c r="N248" s="17"/>
      <c r="O248" s="17"/>
      <c r="P248" s="17"/>
      <c r="Q248" s="17"/>
    </row>
    <row r="249" spans="2:17" x14ac:dyDescent="0.25">
      <c r="B249" s="231" t="str">
        <f>'planning '!F250</f>
        <v>off</v>
      </c>
      <c r="C249" s="232">
        <f t="shared" si="49"/>
        <v>44003</v>
      </c>
      <c r="D249" s="233">
        <f>IF(OR('planning '!$H250="",'planning '!$J250=""),0,IF('planning '!$J250&gt;'planning '!$H250,MEDIAN('planning '!$J250,D$2,D$1)-MEDIAN('planning '!$H250,D$2,D$1),+('planning '!$J250&lt;'planning '!$H250)*(D$2-D$1)+MEDIAN('planning '!$J250,D$1,D$2)-MEDIAN('planning '!$H250,D$1,D$2)))-'planning '!V250</f>
        <v>0</v>
      </c>
      <c r="E249" s="240"/>
      <c r="F249" s="235">
        <f>IF(OR('planning '!$H250="",'planning '!$J250=""),0,IF('planning '!$J250&gt;'planning '!$H250,MEDIAN('planning '!$J250,F$2,F$1)-MEDIAN('planning '!$H250,F$2,F$1),+('planning '!$J250&lt;'planning '!$H250)*(F$2-F$1)+MEDIAN('planning '!$J250,F$1,F$2)-MEDIAN('planning '!$H250,F$1,F$2)))-'planning '!AA250</f>
        <v>0</v>
      </c>
      <c r="G249" s="237"/>
      <c r="H249" s="235">
        <f>IF(OR('planning '!$H250="",'planning '!$J250=""),0,IF('planning '!$J250&gt;'planning '!$H250,MEDIAN('planning '!$J250,H$2,H$1)-MEDIAN('planning '!$H250,H$2,H$1),+('planning '!$J250&lt;'planning '!$H250)*(H$2-H$1)+MEDIAN('planning '!$J250,H$1,H$2)-MEDIAN('planning '!$H250,H$1,H$2)))</f>
        <v>0</v>
      </c>
      <c r="I249" s="237"/>
      <c r="J249" s="234">
        <f>IF(OR('planning '!$H250="",'planning '!$J250=""),0,IF('planning '!$J250&gt;'planning '!$H250,MEDIAN('planning '!$J250,J$2,J$1)-MEDIAN('planning '!$H250,J$2,J$1),+('planning '!$J250&lt;'planning '!$H250)*(J$2-J$1)+MEDIAN('planning '!$J250,J$1,J$2)-MEDIAN('planning '!$H250,J$1,J$2)))</f>
        <v>0</v>
      </c>
      <c r="K249" s="237"/>
      <c r="M249" s="17"/>
      <c r="N249" s="17"/>
      <c r="O249" s="17"/>
      <c r="P249" s="17"/>
      <c r="Q249" s="17"/>
    </row>
    <row r="250" spans="2:17" ht="15.75" thickBot="1" x14ac:dyDescent="0.3">
      <c r="B250" s="231" t="str">
        <f>'planning '!F251</f>
        <v>off</v>
      </c>
      <c r="C250" s="232">
        <f t="shared" si="49"/>
        <v>44004</v>
      </c>
      <c r="D250" s="233">
        <f>IF(OR('planning '!$H251="",'planning '!$J251=""),0,IF('planning '!$J251&gt;'planning '!$H251,MEDIAN('planning '!$J251,D$2,D$1)-MEDIAN('planning '!$H251,D$2,D$1),+('planning '!$J251&lt;'planning '!$H251)*(D$2-D$1)+MEDIAN('planning '!$J251,D$1,D$2)-MEDIAN('planning '!$H251,D$1,D$2)))-'planning '!V251</f>
        <v>0</v>
      </c>
      <c r="E250" s="241"/>
      <c r="F250" s="235">
        <f>IF(OR('planning '!$H251="",'planning '!$J251=""),0,IF('planning '!$J251&gt;'planning '!$H251,MEDIAN('planning '!$J251,F$2,F$1)-MEDIAN('planning '!$H251,F$2,F$1),+('planning '!$J251&lt;'planning '!$H251)*(F$2-F$1)+MEDIAN('planning '!$J251,F$1,F$2)-MEDIAN('planning '!$H251,F$1,F$2)))-'planning '!AA251</f>
        <v>0</v>
      </c>
      <c r="G250" s="238"/>
      <c r="H250" s="235">
        <f>IF(OR('planning '!$H251="",'planning '!$J251=""),0,IF('planning '!$J251&gt;'planning '!$H251,MEDIAN('planning '!$J251,H$2,H$1)-MEDIAN('planning '!$H251,H$2,H$1),+('planning '!$J251&lt;'planning '!$H251)*(H$2-H$1)+MEDIAN('planning '!$J251,H$1,H$2)-MEDIAN('planning '!$H251,H$1,H$2)))</f>
        <v>0</v>
      </c>
      <c r="I250" s="238"/>
      <c r="J250" s="234">
        <f>IF(OR('planning '!$H251="",'planning '!$J251=""),0,IF('planning '!$J251&gt;'planning '!$H251,MEDIAN('planning '!$J251,J$2,J$1)-MEDIAN('planning '!$H251,J$2,J$1),+('planning '!$J251&lt;'planning '!$H251)*(J$2-J$1)+MEDIAN('planning '!$J251,J$1,J$2)-MEDIAN('planning '!$H251,J$1,J$2)))</f>
        <v>0</v>
      </c>
      <c r="K250" s="238"/>
      <c r="M250" s="17"/>
      <c r="N250" s="17"/>
      <c r="O250" s="17"/>
      <c r="P250" s="17"/>
      <c r="Q250" s="17"/>
    </row>
    <row r="251" spans="2:17" x14ac:dyDescent="0.25">
      <c r="M251" s="17"/>
      <c r="N251" s="17"/>
      <c r="O251" s="17"/>
      <c r="P251" s="17"/>
      <c r="Q251" s="17"/>
    </row>
    <row r="252" spans="2:17" x14ac:dyDescent="0.25">
      <c r="M252" s="17"/>
      <c r="N252" s="17"/>
      <c r="O252" s="17"/>
      <c r="P252" s="17"/>
      <c r="Q252" s="17"/>
    </row>
    <row r="253" spans="2:17" ht="15.75" thickBot="1" x14ac:dyDescent="0.3">
      <c r="M253" s="17"/>
      <c r="N253" s="17"/>
      <c r="O253" s="17"/>
      <c r="P253" s="17"/>
      <c r="Q253" s="17"/>
    </row>
    <row r="254" spans="2:17" x14ac:dyDescent="0.25">
      <c r="B254" s="231" t="str">
        <f>'planning '!F255</f>
        <v>travail</v>
      </c>
      <c r="C254" s="232">
        <f>'planning '!E255</f>
        <v>44005</v>
      </c>
      <c r="D254" s="233"/>
      <c r="E254" s="239"/>
      <c r="F254" s="235">
        <f>IF(OR('planning '!$H255="",'planning '!$J255=""),0,IF('planning '!$J255&gt;'planning '!$H255,MEDIAN('planning '!$J255,F$2,F$1)-MEDIAN('planning '!$H255,F$2,F$1),+('planning '!$J255&lt;'planning '!$H255)*(F$2-F$1)+MEDIAN('planning '!$J255,F$1,F$2)-MEDIAN('planning '!$H255,F$1,F$2)))-'planning '!AA255</f>
        <v>0</v>
      </c>
      <c r="G254" s="236"/>
      <c r="H254" s="235">
        <f>IF(OR('planning '!$H255="",'planning '!$J255=""),0,IF('planning '!$J255&gt;'planning '!$H255,MEDIAN('planning '!$J255,H$2,H$1)-MEDIAN('planning '!$H255,H$2,H$1),+('planning '!$J255&lt;'planning '!$H255)*(H$2-H$1)+MEDIAN('planning '!$J255,H$1,H$2)-MEDIAN('planning '!$H255,H$1,H$2)))</f>
        <v>0</v>
      </c>
      <c r="I254" s="236"/>
      <c r="J254" s="234">
        <f>IF(OR('planning '!$H255="",'planning '!$J255=""),0,IF('planning '!$J255&gt;'planning '!$H255,MEDIAN('planning '!$J255,J$2,J$1)-MEDIAN('planning '!$H255,J$2,J$1),+('planning '!$J255&lt;'planning '!$H255)*(J$2-J$1)+MEDIAN('planning '!$J255,J$1,J$2)-MEDIAN('planning '!$H255,J$1,J$2)))</f>
        <v>0.35833333333333334</v>
      </c>
      <c r="K254" s="236"/>
      <c r="M254" s="17"/>
      <c r="N254" s="264"/>
      <c r="O254" s="265" t="s">
        <v>114</v>
      </c>
      <c r="P254" s="266"/>
      <c r="Q254" s="17"/>
    </row>
    <row r="255" spans="2:17" x14ac:dyDescent="0.25">
      <c r="B255" s="231" t="str">
        <f>'planning '!F256</f>
        <v>travail</v>
      </c>
      <c r="C255" s="232">
        <f>C254+1</f>
        <v>44006</v>
      </c>
      <c r="D255" s="233"/>
      <c r="E255" s="240"/>
      <c r="F255" s="235">
        <f>IF(OR('planning '!$H256="",'planning '!$J256=""),0,IF('planning '!$J256&gt;'planning '!$H256,MEDIAN('planning '!$J256,F$2,F$1)-MEDIAN('planning '!$H256,F$2,F$1),+('planning '!$J256&lt;'planning '!$H256)*(F$2-F$1)+MEDIAN('planning '!$J256,F$1,F$2)-MEDIAN('planning '!$H256,F$1,F$2)))-'planning '!AA256</f>
        <v>0</v>
      </c>
      <c r="G255" s="237"/>
      <c r="H255" s="235">
        <f>IF(OR('planning '!$H256="",'planning '!$J256=""),0,IF('planning '!$J256&gt;'planning '!$H256,MEDIAN('planning '!$J256,H$2,H$1)-MEDIAN('planning '!$H256,H$2,H$1),+('planning '!$J256&lt;'planning '!$H256)*(H$2-H$1)+MEDIAN('planning '!$J256,H$1,H$2)-MEDIAN('planning '!$H256,H$1,H$2)))</f>
        <v>0</v>
      </c>
      <c r="I255" s="237"/>
      <c r="J255" s="234">
        <f>IF(OR('planning '!$H256="",'planning '!$J256=""),0,IF('planning '!$J256&gt;'planning '!$H256,MEDIAN('planning '!$J256,J$2,J$1)-MEDIAN('planning '!$H256,J$2,J$1),+('planning '!$J256&lt;'planning '!$H256)*(J$2-J$1)+MEDIAN('planning '!$J256,J$1,J$2)-MEDIAN('planning '!$H256,J$1,J$2)))</f>
        <v>0.32847222222222228</v>
      </c>
      <c r="K255" s="237"/>
      <c r="M255" s="17"/>
      <c r="N255" s="263" t="s">
        <v>117</v>
      </c>
      <c r="O255" s="263" t="s">
        <v>115</v>
      </c>
      <c r="P255" s="263" t="s">
        <v>116</v>
      </c>
      <c r="Q255" s="243" t="s">
        <v>118</v>
      </c>
    </row>
    <row r="256" spans="2:17" x14ac:dyDescent="0.25">
      <c r="B256" s="231" t="str">
        <f>'planning '!F257</f>
        <v>travail</v>
      </c>
      <c r="C256" s="232">
        <f>C255+1</f>
        <v>44007</v>
      </c>
      <c r="D256" s="233"/>
      <c r="E256" s="240"/>
      <c r="F256" s="235">
        <f>IF(OR('planning '!$H257="",'planning '!$J257=""),0,IF('planning '!$J257&gt;'planning '!$H257,MEDIAN('planning '!$J257,F$2,F$1)-MEDIAN('planning '!$H257,F$2,F$1),+('planning '!$J257&lt;'planning '!$H257)*(F$2-F$1)+MEDIAN('planning '!$J257,F$1,F$2)-MEDIAN('planning '!$H257,F$1,F$2)))-'planning '!AA257</f>
        <v>0</v>
      </c>
      <c r="G256" s="237"/>
      <c r="H256" s="235">
        <f>IF(OR('planning '!$H257="",'planning '!$J257=""),0,IF('planning '!$J257&gt;'planning '!$H257,MEDIAN('planning '!$J257,H$2,H$1)-MEDIAN('planning '!$H257,H$2,H$1),+('planning '!$J257&lt;'planning '!$H257)*(H$2-H$1)+MEDIAN('planning '!$J257,H$1,H$2)-MEDIAN('planning '!$H257,H$1,H$2)))</f>
        <v>0</v>
      </c>
      <c r="I256" s="237"/>
      <c r="J256" s="234">
        <f>IF(OR('planning '!$H257="",'planning '!$J257=""),0,IF('planning '!$J257&gt;'planning '!$H257,MEDIAN('planning '!$J257,J$2,J$1)-MEDIAN('planning '!$H257,J$2,J$1),+('planning '!$J257&lt;'planning '!$H257)*(J$2-J$1)+MEDIAN('planning '!$J257,J$1,J$2)-MEDIAN('planning '!$H257,J$1,J$2)))</f>
        <v>8.0555555555555602E-2</v>
      </c>
      <c r="K256" s="237"/>
      <c r="M256" s="231" t="s">
        <v>111</v>
      </c>
      <c r="N256" s="261">
        <f t="shared" ref="N256:Q257" ca="1" si="50">SUMIF(OFFSET($C254:$C261,0,MATCH(N$10,$B$5:$H$5,0)-1,7,1),$K257,OFFSET($B254:$B260,0,MATCH(N$10,$B$5:$H$5,0)-1,7,1))</f>
        <v>0</v>
      </c>
      <c r="O256" s="261">
        <f t="shared" ca="1" si="50"/>
        <v>0</v>
      </c>
      <c r="P256" s="261">
        <f t="shared" ca="1" si="50"/>
        <v>0</v>
      </c>
      <c r="Q256" s="261">
        <f t="shared" ca="1" si="50"/>
        <v>0</v>
      </c>
    </row>
    <row r="257" spans="2:17" x14ac:dyDescent="0.25">
      <c r="B257" s="231" t="str">
        <f>'planning '!F258</f>
        <v>travail</v>
      </c>
      <c r="C257" s="232">
        <f t="shared" ref="C257:C260" si="51">C256+1</f>
        <v>44008</v>
      </c>
      <c r="D257" s="233"/>
      <c r="E257" s="240"/>
      <c r="F257" s="235">
        <f>IF(OR('planning '!$H258="",'planning '!$J258=""),0,IF('planning '!$J258&gt;'planning '!$H258,MEDIAN('planning '!$J258,F$2,F$1)-MEDIAN('planning '!$H258,F$2,F$1),+('planning '!$J258&lt;'planning '!$H258)*(F$2-F$1)+MEDIAN('planning '!$J258,F$1,F$2)-MEDIAN('planning '!$H258,F$1,F$2)))-'planning '!AA258</f>
        <v>0.14583333333333326</v>
      </c>
      <c r="G257" s="237" t="s">
        <v>21</v>
      </c>
      <c r="H257" s="235">
        <f>IF(OR('planning '!$H258="",'planning '!$J258=""),0,IF('planning '!$J258&gt;'planning '!$H258,MEDIAN('planning '!$J258,H$2,H$1)-MEDIAN('planning '!$H258,H$2,H$1),+('planning '!$J258&lt;'planning '!$H258)*(H$2-H$1)+MEDIAN('planning '!$J258,H$1,H$2)-MEDIAN('planning '!$H258,H$1,H$2)))</f>
        <v>6.2500000000000888E-3</v>
      </c>
      <c r="I257" s="237" t="s">
        <v>21</v>
      </c>
      <c r="J257" s="234">
        <f>IF(OR('planning '!$H258="",'planning '!$J258=""),0,IF('planning '!$J258&gt;'planning '!$H258,MEDIAN('planning '!$J258,J$2,J$1)-MEDIAN('planning '!$H258,J$2,J$1),+('planning '!$J258&lt;'planning '!$H258)*(J$2-J$1)+MEDIAN('planning '!$J258,J$1,J$2)-MEDIAN('planning '!$H258,J$1,J$2)))</f>
        <v>0.54583333333333339</v>
      </c>
      <c r="K257" s="237"/>
      <c r="M257" s="231" t="s">
        <v>21</v>
      </c>
      <c r="N257" s="261">
        <f t="shared" ca="1" si="50"/>
        <v>0</v>
      </c>
      <c r="O257" s="261">
        <f t="shared" ca="1" si="50"/>
        <v>0</v>
      </c>
      <c r="P257" s="261">
        <f t="shared" ca="1" si="50"/>
        <v>0</v>
      </c>
      <c r="Q257" s="261">
        <f t="shared" ca="1" si="50"/>
        <v>0</v>
      </c>
    </row>
    <row r="258" spans="2:17" x14ac:dyDescent="0.25">
      <c r="B258" s="231" t="str">
        <f>'planning '!F259</f>
        <v>travail</v>
      </c>
      <c r="C258" s="232">
        <f t="shared" si="51"/>
        <v>44009</v>
      </c>
      <c r="D258" s="233"/>
      <c r="E258" s="240"/>
      <c r="F258" s="235">
        <f>IF(OR('planning '!$H259="",'planning '!$J259=""),0,IF('planning '!$J259&gt;'planning '!$H259,MEDIAN('planning '!$J259,F$2,F$1)-MEDIAN('planning '!$H259,F$2,F$1),+('planning '!$J259&lt;'planning '!$H259)*(F$2-F$1)+MEDIAN('planning '!$J259,F$1,F$2)-MEDIAN('planning '!$H259,F$1,F$2)))-'planning '!AA259</f>
        <v>0</v>
      </c>
      <c r="G258" s="237"/>
      <c r="H258" s="235">
        <f>IF(OR('planning '!$H259="",'planning '!$J259=""),0,IF('planning '!$J259&gt;'planning '!$H259,MEDIAN('planning '!$J259,H$2,H$1)-MEDIAN('planning '!$H259,H$2,H$1),+('planning '!$J259&lt;'planning '!$H259)*(H$2-H$1)+MEDIAN('planning '!$J259,H$1,H$2)-MEDIAN('planning '!$H259,H$1,H$2)))</f>
        <v>0</v>
      </c>
      <c r="I258" s="237"/>
      <c r="J258" s="234">
        <f>IF(OR('planning '!$H259="",'planning '!$J259=""),0,IF('planning '!$J259&gt;'planning '!$H259,MEDIAN('planning '!$J259,J$2,J$1)-MEDIAN('planning '!$H259,J$2,J$1),+('planning '!$J259&lt;'planning '!$H259)*(J$2-J$1)+MEDIAN('planning '!$J259,J$1,J$2)-MEDIAN('planning '!$H259,J$1,J$2)))</f>
        <v>0.27361111111111108</v>
      </c>
      <c r="K258" s="237"/>
      <c r="M258" s="17"/>
      <c r="N258" s="17"/>
      <c r="O258" s="17"/>
      <c r="P258" s="17"/>
      <c r="Q258" s="17"/>
    </row>
    <row r="259" spans="2:17" x14ac:dyDescent="0.25">
      <c r="B259" s="231" t="str">
        <f>'planning '!F260</f>
        <v>off</v>
      </c>
      <c r="C259" s="232">
        <f t="shared" si="51"/>
        <v>44010</v>
      </c>
      <c r="D259" s="233">
        <f>IF(OR('planning '!$H260="",'planning '!$J260=""),0,IF('planning '!$J260&gt;'planning '!$H260,MEDIAN('planning '!$J260,D$2,D$1)-MEDIAN('planning '!$H260,D$2,D$1),+('planning '!$J260&lt;'planning '!$H260)*(D$2-D$1)+MEDIAN('planning '!$J260,D$1,D$2)-MEDIAN('planning '!$H260,D$1,D$2)))-'planning '!V260</f>
        <v>0</v>
      </c>
      <c r="E259" s="240"/>
      <c r="F259" s="235">
        <f>IF(OR('planning '!$H260="",'planning '!$J260=""),0,IF('planning '!$J260&gt;'planning '!$H260,MEDIAN('planning '!$J260,F$2,F$1)-MEDIAN('planning '!$H260,F$2,F$1),+('planning '!$J260&lt;'planning '!$H260)*(F$2-F$1)+MEDIAN('planning '!$J260,F$1,F$2)-MEDIAN('planning '!$H260,F$1,F$2)))-'planning '!AA260</f>
        <v>0</v>
      </c>
      <c r="G259" s="237"/>
      <c r="H259" s="235">
        <f>IF(OR('planning '!$H260="",'planning '!$J260=""),0,IF('planning '!$J260&gt;'planning '!$H260,MEDIAN('planning '!$J260,H$2,H$1)-MEDIAN('planning '!$H260,H$2,H$1),+('planning '!$J260&lt;'planning '!$H260)*(H$2-H$1)+MEDIAN('planning '!$J260,H$1,H$2)-MEDIAN('planning '!$H260,H$1,H$2)))</f>
        <v>0</v>
      </c>
      <c r="I259" s="237"/>
      <c r="J259" s="234">
        <f>IF(OR('planning '!$H260="",'planning '!$J260=""),0,IF('planning '!$J260&gt;'planning '!$H260,MEDIAN('planning '!$J260,J$2,J$1)-MEDIAN('planning '!$H260,J$2,J$1),+('planning '!$J260&lt;'planning '!$H260)*(J$2-J$1)+MEDIAN('planning '!$J260,J$1,J$2)-MEDIAN('planning '!$H260,J$1,J$2)))</f>
        <v>0</v>
      </c>
      <c r="K259" s="237"/>
      <c r="M259" s="17"/>
      <c r="N259" s="17"/>
      <c r="O259" s="17"/>
      <c r="P259" s="17"/>
      <c r="Q259" s="17"/>
    </row>
    <row r="260" spans="2:17" ht="15.75" thickBot="1" x14ac:dyDescent="0.3">
      <c r="B260" s="231" t="str">
        <f>'planning '!F261</f>
        <v>off</v>
      </c>
      <c r="C260" s="232">
        <f t="shared" si="51"/>
        <v>44011</v>
      </c>
      <c r="D260" s="233">
        <f>IF(OR('planning '!$H261="",'planning '!$J261=""),0,IF('planning '!$J261&gt;'planning '!$H261,MEDIAN('planning '!$J261,D$2,D$1)-MEDIAN('planning '!$H261,D$2,D$1),+('planning '!$J261&lt;'planning '!$H261)*(D$2-D$1)+MEDIAN('planning '!$J261,D$1,D$2)-MEDIAN('planning '!$H261,D$1,D$2)))-'planning '!V261</f>
        <v>0</v>
      </c>
      <c r="E260" s="241"/>
      <c r="F260" s="235">
        <f>IF(OR('planning '!$H261="",'planning '!$J261=""),0,IF('planning '!$J261&gt;'planning '!$H261,MEDIAN('planning '!$J261,F$2,F$1)-MEDIAN('planning '!$H261,F$2,F$1),+('planning '!$J261&lt;'planning '!$H261)*(F$2-F$1)+MEDIAN('planning '!$J261,F$1,F$2)-MEDIAN('planning '!$H261,F$1,F$2)))-'planning '!AA261</f>
        <v>0</v>
      </c>
      <c r="G260" s="238"/>
      <c r="H260" s="235">
        <f>IF(OR('planning '!$H261="",'planning '!$J261=""),0,IF('planning '!$J261&gt;'planning '!$H261,MEDIAN('planning '!$J261,H$2,H$1)-MEDIAN('planning '!$H261,H$2,H$1),+('planning '!$J261&lt;'planning '!$H261)*(H$2-H$1)+MEDIAN('planning '!$J261,H$1,H$2)-MEDIAN('planning '!$H261,H$1,H$2)))</f>
        <v>0</v>
      </c>
      <c r="I260" s="238"/>
      <c r="J260" s="234">
        <f>IF(OR('planning '!$H261="",'planning '!$J261=""),0,IF('planning '!$J261&gt;'planning '!$H261,MEDIAN('planning '!$J261,J$2,J$1)-MEDIAN('planning '!$H261,J$2,J$1),+('planning '!$J261&lt;'planning '!$H261)*(J$2-J$1)+MEDIAN('planning '!$J261,J$1,J$2)-MEDIAN('planning '!$H261,J$1,J$2)))</f>
        <v>0</v>
      </c>
      <c r="K260" s="238"/>
      <c r="M260" s="17"/>
      <c r="N260" s="17"/>
      <c r="O260" s="17"/>
      <c r="P260" s="17"/>
      <c r="Q260" s="17"/>
    </row>
    <row r="261" spans="2:17" x14ac:dyDescent="0.25">
      <c r="M261" s="17"/>
      <c r="N261" s="17"/>
      <c r="O261" s="17"/>
      <c r="P261" s="17"/>
      <c r="Q261" s="17"/>
    </row>
    <row r="262" spans="2:17" x14ac:dyDescent="0.25">
      <c r="M262" s="17"/>
      <c r="N262" s="17"/>
      <c r="O262" s="17"/>
      <c r="P262" s="17"/>
      <c r="Q262" s="17"/>
    </row>
    <row r="263" spans="2:17" ht="15.75" thickBot="1" x14ac:dyDescent="0.3">
      <c r="M263" s="17"/>
      <c r="N263" s="17"/>
      <c r="O263" s="17"/>
      <c r="P263" s="17"/>
      <c r="Q263" s="17"/>
    </row>
    <row r="264" spans="2:17" x14ac:dyDescent="0.25">
      <c r="B264" s="231" t="str">
        <f>'planning '!F265</f>
        <v>travail</v>
      </c>
      <c r="C264" s="232">
        <f>'planning '!E265</f>
        <v>44012</v>
      </c>
      <c r="D264" s="233"/>
      <c r="E264" s="239" t="s">
        <v>21</v>
      </c>
      <c r="F264" s="235">
        <f>IF(OR('planning '!$H265="",'planning '!$J265=""),0,IF('planning '!$J265&gt;'planning '!$H265,MEDIAN('planning '!$J265,F$2,F$1)-MEDIAN('planning '!$H265,F$2,F$1),+('planning '!$J265&lt;'planning '!$H265)*(F$2-F$1)+MEDIAN('planning '!$J265,F$1,F$2)-MEDIAN('planning '!$H265,F$1,F$2)))-'planning '!AA265</f>
        <v>0</v>
      </c>
      <c r="G264" s="236"/>
      <c r="H264" s="235">
        <f>IF(OR('planning '!$H265="",'planning '!$J265=""),0,IF('planning '!$J265&gt;'planning '!$H265,MEDIAN('planning '!$J265,H$2,H$1)-MEDIAN('planning '!$H265,H$2,H$1),+('planning '!$J265&lt;'planning '!$H265)*(H$2-H$1)+MEDIAN('planning '!$J265,H$1,H$2)-MEDIAN('planning '!$H265,H$1,H$2)))</f>
        <v>0</v>
      </c>
      <c r="I264" s="236"/>
      <c r="J264" s="234">
        <f>IF(OR('planning '!$H265="",'planning '!$J265=""),0,IF('planning '!$J265&gt;'planning '!$H265,MEDIAN('planning '!$J265,J$2,J$1)-MEDIAN('planning '!$H265,J$2,J$1),+('planning '!$J265&lt;'planning '!$H265)*(J$2-J$1)+MEDIAN('planning '!$J265,J$1,J$2)-MEDIAN('planning '!$H265,J$1,J$2)))</f>
        <v>0.35277777777777775</v>
      </c>
      <c r="K264" s="236"/>
      <c r="M264" s="17"/>
      <c r="N264" s="264"/>
      <c r="O264" s="265" t="s">
        <v>114</v>
      </c>
      <c r="P264" s="266"/>
      <c r="Q264" s="17"/>
    </row>
    <row r="265" spans="2:17" x14ac:dyDescent="0.25">
      <c r="B265" s="231" t="str">
        <f>'planning '!F266</f>
        <v>travail</v>
      </c>
      <c r="C265" s="232">
        <f>C264+1</f>
        <v>44013</v>
      </c>
      <c r="D265" s="233"/>
      <c r="E265" s="240"/>
      <c r="F265" s="235">
        <f>IF(OR('planning '!$H266="",'planning '!$J266=""),0,IF('planning '!$J266&gt;'planning '!$H266,MEDIAN('planning '!$J266,F$2,F$1)-MEDIAN('planning '!$H266,F$2,F$1),+('planning '!$J266&lt;'planning '!$H266)*(F$2-F$1)+MEDIAN('planning '!$J266,F$1,F$2)-MEDIAN('planning '!$H266,F$1,F$2)))-'planning '!AA266</f>
        <v>0</v>
      </c>
      <c r="G265" s="237"/>
      <c r="H265" s="235">
        <f>IF(OR('planning '!$H266="",'planning '!$J266=""),0,IF('planning '!$J266&gt;'planning '!$H266,MEDIAN('planning '!$J266,H$2,H$1)-MEDIAN('planning '!$H266,H$2,H$1),+('planning '!$J266&lt;'planning '!$H266)*(H$2-H$1)+MEDIAN('planning '!$J266,H$1,H$2)-MEDIAN('planning '!$H266,H$1,H$2)))</f>
        <v>0</v>
      </c>
      <c r="I265" s="237"/>
      <c r="J265" s="234">
        <f>IF(OR('planning '!$H266="",'planning '!$J266=""),0,IF('planning '!$J266&gt;'planning '!$H266,MEDIAN('planning '!$J266,J$2,J$1)-MEDIAN('planning '!$H266,J$2,J$1),+('planning '!$J266&lt;'planning '!$H266)*(J$2-J$1)+MEDIAN('planning '!$J266,J$1,J$2)-MEDIAN('planning '!$H266,J$1,J$2)))</f>
        <v>0.33819444444444441</v>
      </c>
      <c r="K265" s="237"/>
      <c r="M265" s="17"/>
      <c r="N265" s="263" t="s">
        <v>117</v>
      </c>
      <c r="O265" s="263" t="s">
        <v>115</v>
      </c>
      <c r="P265" s="263" t="s">
        <v>116</v>
      </c>
      <c r="Q265" s="243" t="s">
        <v>118</v>
      </c>
    </row>
    <row r="266" spans="2:17" x14ac:dyDescent="0.25">
      <c r="B266" s="231" t="str">
        <f>'planning '!F267</f>
        <v>travail</v>
      </c>
      <c r="C266" s="232">
        <f>C265+1</f>
        <v>44014</v>
      </c>
      <c r="D266" s="233"/>
      <c r="E266" s="240"/>
      <c r="F266" s="235">
        <f>IF(OR('planning '!$H267="",'planning '!$J267=""),0,IF('planning '!$J267&gt;'planning '!$H267,MEDIAN('planning '!$J267,F$2,F$1)-MEDIAN('planning '!$H267,F$2,F$1),+('planning '!$J267&lt;'planning '!$H267)*(F$2-F$1)+MEDIAN('planning '!$J267,F$1,F$2)-MEDIAN('planning '!$H267,F$1,F$2)))-'planning '!AA267</f>
        <v>0</v>
      </c>
      <c r="G266" s="237"/>
      <c r="H266" s="235">
        <f>IF(OR('planning '!$H267="",'planning '!$J267=""),0,IF('planning '!$J267&gt;'planning '!$H267,MEDIAN('planning '!$J267,H$2,H$1)-MEDIAN('planning '!$H267,H$2,H$1),+('planning '!$J267&lt;'planning '!$H267)*(H$2-H$1)+MEDIAN('planning '!$J267,H$1,H$2)-MEDIAN('planning '!$H267,H$1,H$2)))</f>
        <v>0</v>
      </c>
      <c r="I266" s="237"/>
      <c r="J266" s="234">
        <f>IF(OR('planning '!$H267="",'planning '!$J267=""),0,IF('planning '!$J267&gt;'planning '!$H267,MEDIAN('planning '!$J267,J$2,J$1)-MEDIAN('planning '!$H267,J$2,J$1),+('planning '!$J267&lt;'planning '!$H267)*(J$2-J$1)+MEDIAN('planning '!$J267,J$1,J$2)-MEDIAN('planning '!$H267,J$1,J$2)))</f>
        <v>0.33194444444444449</v>
      </c>
      <c r="K266" s="237"/>
      <c r="M266" s="231" t="s">
        <v>111</v>
      </c>
      <c r="N266" s="261">
        <f t="shared" ref="N266:Q267" ca="1" si="52">SUMIF(OFFSET($C264:$C271,0,MATCH(N$10,$B$5:$H$5,0)-1,7,1),$K267,OFFSET($B264:$B270,0,MATCH(N$10,$B$5:$H$5,0)-1,7,1))</f>
        <v>0</v>
      </c>
      <c r="O266" s="261">
        <f t="shared" ca="1" si="52"/>
        <v>0</v>
      </c>
      <c r="P266" s="261">
        <f t="shared" ca="1" si="52"/>
        <v>0</v>
      </c>
      <c r="Q266" s="261">
        <f t="shared" ca="1" si="52"/>
        <v>0</v>
      </c>
    </row>
    <row r="267" spans="2:17" x14ac:dyDescent="0.25">
      <c r="B267" s="231" t="str">
        <f>'planning '!F268</f>
        <v>travail</v>
      </c>
      <c r="C267" s="232">
        <f t="shared" ref="C267:C270" si="53">C266+1</f>
        <v>44015</v>
      </c>
      <c r="D267" s="233"/>
      <c r="E267" s="240"/>
      <c r="F267" s="235">
        <f>IF(OR('planning '!$H268="",'planning '!$J268=""),0,IF('planning '!$J268&gt;'planning '!$H268,MEDIAN('planning '!$J268,F$2,F$1)-MEDIAN('planning '!$H268,F$2,F$1),+('planning '!$J268&lt;'planning '!$H268)*(F$2-F$1)+MEDIAN('planning '!$J268,F$1,F$2)-MEDIAN('planning '!$H268,F$1,F$2)))-'planning '!AA268</f>
        <v>0</v>
      </c>
      <c r="G267" s="237"/>
      <c r="H267" s="235">
        <f>IF(OR('planning '!$H268="",'planning '!$J268=""),0,IF('planning '!$J268&gt;'planning '!$H268,MEDIAN('planning '!$J268,H$2,H$1)-MEDIAN('planning '!$H268,H$2,H$1),+('planning '!$J268&lt;'planning '!$H268)*(H$2-H$1)+MEDIAN('planning '!$J268,H$1,H$2)-MEDIAN('planning '!$H268,H$1,H$2)))</f>
        <v>0</v>
      </c>
      <c r="I267" s="237"/>
      <c r="J267" s="234">
        <f>IF(OR('planning '!$H268="",'planning '!$J268=""),0,IF('planning '!$J268&gt;'planning '!$H268,MEDIAN('planning '!$J268,J$2,J$1)-MEDIAN('planning '!$H268,J$2,J$1),+('planning '!$J268&lt;'planning '!$H268)*(J$2-J$1)+MEDIAN('planning '!$J268,J$1,J$2)-MEDIAN('planning '!$H268,J$1,J$2)))</f>
        <v>0.35763888888888884</v>
      </c>
      <c r="K267" s="237"/>
      <c r="M267" s="231" t="s">
        <v>21</v>
      </c>
      <c r="N267" s="261">
        <f t="shared" ca="1" si="52"/>
        <v>0</v>
      </c>
      <c r="O267" s="261">
        <f t="shared" ca="1" si="52"/>
        <v>0</v>
      </c>
      <c r="P267" s="261">
        <f t="shared" ca="1" si="52"/>
        <v>0</v>
      </c>
      <c r="Q267" s="261">
        <f t="shared" ca="1" si="52"/>
        <v>0</v>
      </c>
    </row>
    <row r="268" spans="2:17" x14ac:dyDescent="0.25">
      <c r="B268" s="231" t="str">
        <f>'planning '!F269</f>
        <v>travail</v>
      </c>
      <c r="C268" s="232">
        <f t="shared" si="53"/>
        <v>44016</v>
      </c>
      <c r="D268" s="233"/>
      <c r="E268" s="240"/>
      <c r="F268" s="235">
        <f>IF(OR('planning '!$H269="",'planning '!$J269=""),0,IF('planning '!$J269&gt;'planning '!$H269,MEDIAN('planning '!$J269,F$2,F$1)-MEDIAN('planning '!$H269,F$2,F$1),+('planning '!$J269&lt;'planning '!$H269)*(F$2-F$1)+MEDIAN('planning '!$J269,F$1,F$2)-MEDIAN('planning '!$H269,F$1,F$2)))-'planning '!AA269</f>
        <v>0</v>
      </c>
      <c r="G268" s="237"/>
      <c r="H268" s="235">
        <f>IF(OR('planning '!$H269="",'planning '!$J269=""),0,IF('planning '!$J269&gt;'planning '!$H269,MEDIAN('planning '!$J269,H$2,H$1)-MEDIAN('planning '!$H269,H$2,H$1),+('planning '!$J269&lt;'planning '!$H269)*(H$2-H$1)+MEDIAN('planning '!$J269,H$1,H$2)-MEDIAN('planning '!$H269,H$1,H$2)))</f>
        <v>0</v>
      </c>
      <c r="I268" s="237"/>
      <c r="J268" s="234">
        <f>IF(OR('planning '!$H269="",'planning '!$J269=""),0,IF('planning '!$J269&gt;'planning '!$H269,MEDIAN('planning '!$J269,J$2,J$1)-MEDIAN('planning '!$H269,J$2,J$1),+('planning '!$J269&lt;'planning '!$H269)*(J$2-J$1)+MEDIAN('planning '!$J269,J$1,J$2)-MEDIAN('planning '!$H269,J$1,J$2)))</f>
        <v>0.3354166666666667</v>
      </c>
      <c r="K268" s="237"/>
      <c r="M268" s="17"/>
      <c r="N268" s="17"/>
      <c r="O268" s="17"/>
      <c r="P268" s="17"/>
      <c r="Q268" s="17"/>
    </row>
    <row r="269" spans="2:17" x14ac:dyDescent="0.25">
      <c r="B269" s="231" t="str">
        <f>'planning '!F270</f>
        <v>off</v>
      </c>
      <c r="C269" s="232">
        <f t="shared" si="53"/>
        <v>44017</v>
      </c>
      <c r="D269" s="233">
        <f>IF(OR('planning '!$H270="",'planning '!$J270=""),0,IF('planning '!$J270&gt;'planning '!$H270,MEDIAN('planning '!$J270,D$2,D$1)-MEDIAN('planning '!$H270,D$2,D$1),+('planning '!$J270&lt;'planning '!$H270)*(D$2-D$1)+MEDIAN('planning '!$J270,D$1,D$2)-MEDIAN('planning '!$H270,D$1,D$2)))-'planning '!V270</f>
        <v>0</v>
      </c>
      <c r="E269" s="240"/>
      <c r="F269" s="235">
        <f>IF(OR('planning '!$H270="",'planning '!$J270=""),0,IF('planning '!$J270&gt;'planning '!$H270,MEDIAN('planning '!$J270,F$2,F$1)-MEDIAN('planning '!$H270,F$2,F$1),+('planning '!$J270&lt;'planning '!$H270)*(F$2-F$1)+MEDIAN('planning '!$J270,F$1,F$2)-MEDIAN('planning '!$H270,F$1,F$2)))-'planning '!AA270</f>
        <v>0</v>
      </c>
      <c r="G269" s="237"/>
      <c r="H269" s="235">
        <f>IF(OR('planning '!$H270="",'planning '!$J270=""),0,IF('planning '!$J270&gt;'planning '!$H270,MEDIAN('planning '!$J270,H$2,H$1)-MEDIAN('planning '!$H270,H$2,H$1),+('planning '!$J270&lt;'planning '!$H270)*(H$2-H$1)+MEDIAN('planning '!$J270,H$1,H$2)-MEDIAN('planning '!$H270,H$1,H$2)))</f>
        <v>0</v>
      </c>
      <c r="I269" s="237"/>
      <c r="J269" s="234">
        <f>IF(OR('planning '!$H270="",'planning '!$J270=""),0,IF('planning '!$J270&gt;'planning '!$H270,MEDIAN('planning '!$J270,J$2,J$1)-MEDIAN('planning '!$H270,J$2,J$1),+('planning '!$J270&lt;'planning '!$H270)*(J$2-J$1)+MEDIAN('planning '!$J270,J$1,J$2)-MEDIAN('planning '!$H270,J$1,J$2)))</f>
        <v>0</v>
      </c>
      <c r="K269" s="237"/>
      <c r="M269" s="17"/>
      <c r="N269" s="17"/>
      <c r="O269" s="17"/>
      <c r="P269" s="17"/>
      <c r="Q269" s="17"/>
    </row>
    <row r="270" spans="2:17" ht="15.75" thickBot="1" x14ac:dyDescent="0.3">
      <c r="B270" s="231" t="str">
        <f>'planning '!F271</f>
        <v>off</v>
      </c>
      <c r="C270" s="232">
        <f t="shared" si="53"/>
        <v>44018</v>
      </c>
      <c r="D270" s="233">
        <f>IF(OR('planning '!$H271="",'planning '!$J271=""),0,IF('planning '!$J271&gt;'planning '!$H271,MEDIAN('planning '!$J271,D$2,D$1)-MEDIAN('planning '!$H271,D$2,D$1),+('planning '!$J271&lt;'planning '!$H271)*(D$2-D$1)+MEDIAN('planning '!$J271,D$1,D$2)-MEDIAN('planning '!$H271,D$1,D$2)))-'planning '!V271</f>
        <v>0</v>
      </c>
      <c r="E270" s="241"/>
      <c r="F270" s="235">
        <f>IF(OR('planning '!$H271="",'planning '!$J271=""),0,IF('planning '!$J271&gt;'planning '!$H271,MEDIAN('planning '!$J271,F$2,F$1)-MEDIAN('planning '!$H271,F$2,F$1),+('planning '!$J271&lt;'planning '!$H271)*(F$2-F$1)+MEDIAN('planning '!$J271,F$1,F$2)-MEDIAN('planning '!$H271,F$1,F$2)))-'planning '!AA271</f>
        <v>0</v>
      </c>
      <c r="G270" s="238"/>
      <c r="H270" s="235">
        <f>IF(OR('planning '!$H271="",'planning '!$J271=""),0,IF('planning '!$J271&gt;'planning '!$H271,MEDIAN('planning '!$J271,H$2,H$1)-MEDIAN('planning '!$H271,H$2,H$1),+('planning '!$J271&lt;'planning '!$H271)*(H$2-H$1)+MEDIAN('planning '!$J271,H$1,H$2)-MEDIAN('planning '!$H271,H$1,H$2)))</f>
        <v>0</v>
      </c>
      <c r="I270" s="238"/>
      <c r="J270" s="234">
        <f>IF(OR('planning '!$H271="",'planning '!$J271=""),0,IF('planning '!$J271&gt;'planning '!$H271,MEDIAN('planning '!$J271,J$2,J$1)-MEDIAN('planning '!$H271,J$2,J$1),+('planning '!$J271&lt;'planning '!$H271)*(J$2-J$1)+MEDIAN('planning '!$J271,J$1,J$2)-MEDIAN('planning '!$H271,J$1,J$2)))</f>
        <v>0</v>
      </c>
      <c r="K270" s="238"/>
      <c r="M270" s="17"/>
      <c r="N270" s="17"/>
      <c r="O270" s="17"/>
      <c r="P270" s="17"/>
      <c r="Q270" s="17"/>
    </row>
    <row r="271" spans="2:17" x14ac:dyDescent="0.25">
      <c r="M271" s="17"/>
      <c r="N271" s="17"/>
      <c r="O271" s="17"/>
      <c r="P271" s="17"/>
      <c r="Q271" s="17"/>
    </row>
    <row r="272" spans="2:17" x14ac:dyDescent="0.25">
      <c r="M272" s="17"/>
      <c r="N272" s="17"/>
      <c r="O272" s="17"/>
      <c r="P272" s="17"/>
      <c r="Q272" s="17"/>
    </row>
    <row r="273" spans="2:17" ht="15.75" thickBot="1" x14ac:dyDescent="0.3">
      <c r="M273" s="17"/>
      <c r="N273" s="17"/>
      <c r="O273" s="17"/>
      <c r="P273" s="17"/>
      <c r="Q273" s="17"/>
    </row>
    <row r="274" spans="2:17" x14ac:dyDescent="0.25">
      <c r="B274" s="231" t="str">
        <f>'planning '!F275</f>
        <v>travail</v>
      </c>
      <c r="C274" s="232">
        <f>'planning '!E275</f>
        <v>44019</v>
      </c>
      <c r="D274" s="233"/>
      <c r="E274" s="239"/>
      <c r="F274" s="235">
        <f>IF(OR('planning '!$H275="",'planning '!$J275=""),0,IF('planning '!$J275&gt;'planning '!$H275,MEDIAN('planning '!$J275,F$2,F$1)-MEDIAN('planning '!$H275,F$2,F$1),+('planning '!$J275&lt;'planning '!$H275)*(F$2-F$1)+MEDIAN('planning '!$J275,F$1,F$2)-MEDIAN('planning '!$H275,F$1,F$2)))-'planning '!AA275</f>
        <v>0</v>
      </c>
      <c r="G274" s="236"/>
      <c r="H274" s="235">
        <f>IF(OR('planning '!$H275="",'planning '!$J275=""),0,IF('planning '!$J275&gt;'planning '!$H275,MEDIAN('planning '!$J275,H$2,H$1)-MEDIAN('planning '!$H275,H$2,H$1),+('planning '!$J275&lt;'planning '!$H275)*(H$2-H$1)+MEDIAN('planning '!$J275,H$1,H$2)-MEDIAN('planning '!$H275,H$1,H$2)))</f>
        <v>0</v>
      </c>
      <c r="I274" s="236"/>
      <c r="J274" s="234">
        <f>IF(OR('planning '!$H275="",'planning '!$J275=""),0,IF('planning '!$J275&gt;'planning '!$H275,MEDIAN('planning '!$J275,J$2,J$1)-MEDIAN('planning '!$H275,J$2,J$1),+('planning '!$J275&lt;'planning '!$H275)*(J$2-J$1)+MEDIAN('planning '!$J275,J$1,J$2)-MEDIAN('planning '!$H275,J$1,J$2)))</f>
        <v>0.33819444444444446</v>
      </c>
      <c r="K274" s="236"/>
      <c r="M274" s="17"/>
      <c r="N274" s="264"/>
      <c r="O274" s="265" t="s">
        <v>114</v>
      </c>
      <c r="P274" s="266"/>
      <c r="Q274" s="17"/>
    </row>
    <row r="275" spans="2:17" x14ac:dyDescent="0.25">
      <c r="B275" s="231" t="str">
        <f>'planning '!F276</f>
        <v>travail</v>
      </c>
      <c r="C275" s="232">
        <f>C274+1</f>
        <v>44020</v>
      </c>
      <c r="D275" s="233"/>
      <c r="E275" s="240"/>
      <c r="F275" s="235">
        <f>IF(OR('planning '!$H276="",'planning '!$J276=""),0,IF('planning '!$J276&gt;'planning '!$H276,MEDIAN('planning '!$J276,F$2,F$1)-MEDIAN('planning '!$H276,F$2,F$1),+('planning '!$J276&lt;'planning '!$H276)*(F$2-F$1)+MEDIAN('planning '!$J276,F$1,F$2)-MEDIAN('planning '!$H276,F$1,F$2)))-'planning '!AA276</f>
        <v>0</v>
      </c>
      <c r="G275" s="237"/>
      <c r="H275" s="235">
        <f>IF(OR('planning '!$H276="",'planning '!$J276=""),0,IF('planning '!$J276&gt;'planning '!$H276,MEDIAN('planning '!$J276,H$2,H$1)-MEDIAN('planning '!$H276,H$2,H$1),+('planning '!$J276&lt;'planning '!$H276)*(H$2-H$1)+MEDIAN('planning '!$J276,H$1,H$2)-MEDIAN('planning '!$H276,H$1,H$2)))</f>
        <v>0</v>
      </c>
      <c r="I275" s="237"/>
      <c r="J275" s="234">
        <f>IF(OR('planning '!$H276="",'planning '!$J276=""),0,IF('planning '!$J276&gt;'planning '!$H276,MEDIAN('planning '!$J276,J$2,J$1)-MEDIAN('planning '!$H276,J$2,J$1),+('planning '!$J276&lt;'planning '!$H276)*(J$2-J$1)+MEDIAN('planning '!$J276,J$1,J$2)-MEDIAN('planning '!$H276,J$1,J$2)))</f>
        <v>0.33750000000000002</v>
      </c>
      <c r="K275" s="237"/>
      <c r="M275" s="17"/>
      <c r="N275" s="263" t="s">
        <v>117</v>
      </c>
      <c r="O275" s="263" t="s">
        <v>115</v>
      </c>
      <c r="P275" s="263" t="s">
        <v>116</v>
      </c>
      <c r="Q275" s="243" t="s">
        <v>118</v>
      </c>
    </row>
    <row r="276" spans="2:17" x14ac:dyDescent="0.25">
      <c r="B276" s="231" t="str">
        <f>'planning '!F277</f>
        <v>travail</v>
      </c>
      <c r="C276" s="232">
        <f>C275+1</f>
        <v>44021</v>
      </c>
      <c r="D276" s="233"/>
      <c r="E276" s="240"/>
      <c r="F276" s="235">
        <f>IF(OR('planning '!$H277="",'planning '!$J277=""),0,IF('planning '!$J277&gt;'planning '!$H277,MEDIAN('planning '!$J277,F$2,F$1)-MEDIAN('planning '!$H277,F$2,F$1),+('planning '!$J277&lt;'planning '!$H277)*(F$2-F$1)+MEDIAN('planning '!$J277,F$1,F$2)-MEDIAN('planning '!$H277,F$1,F$2)))-'planning '!AA277</f>
        <v>0</v>
      </c>
      <c r="G276" s="237"/>
      <c r="H276" s="235">
        <f>IF(OR('planning '!$H277="",'planning '!$J277=""),0,IF('planning '!$J277&gt;'planning '!$H277,MEDIAN('planning '!$J277,H$2,H$1)-MEDIAN('planning '!$H277,H$2,H$1),+('planning '!$J277&lt;'planning '!$H277)*(H$2-H$1)+MEDIAN('planning '!$J277,H$1,H$2)-MEDIAN('planning '!$H277,H$1,H$2)))</f>
        <v>0</v>
      </c>
      <c r="I276" s="237"/>
      <c r="J276" s="234">
        <f>IF(OR('planning '!$H277="",'planning '!$J277=""),0,IF('planning '!$J277&gt;'planning '!$H277,MEDIAN('planning '!$J277,J$2,J$1)-MEDIAN('planning '!$H277,J$2,J$1),+('planning '!$J277&lt;'planning '!$H277)*(J$2-J$1)+MEDIAN('planning '!$J277,J$1,J$2)-MEDIAN('planning '!$H277,J$1,J$2)))</f>
        <v>0.33541666666666664</v>
      </c>
      <c r="K276" s="237"/>
      <c r="M276" s="231" t="s">
        <v>111</v>
      </c>
      <c r="N276" s="261">
        <f t="shared" ref="N276:Q277" ca="1" si="54">SUMIF(OFFSET($C274:$C281,0,MATCH(N$10,$B$5:$H$5,0)-1,7,1),$K277,OFFSET($B274:$B280,0,MATCH(N$10,$B$5:$H$5,0)-1,7,1))</f>
        <v>0</v>
      </c>
      <c r="O276" s="261">
        <f t="shared" ca="1" si="54"/>
        <v>0</v>
      </c>
      <c r="P276" s="261">
        <f t="shared" ca="1" si="54"/>
        <v>0</v>
      </c>
      <c r="Q276" s="261">
        <f t="shared" ca="1" si="54"/>
        <v>0</v>
      </c>
    </row>
    <row r="277" spans="2:17" x14ac:dyDescent="0.25">
      <c r="B277" s="231" t="str">
        <f>'planning '!F278</f>
        <v>travail</v>
      </c>
      <c r="C277" s="232">
        <f t="shared" ref="C277:C280" si="55">C276+1</f>
        <v>44022</v>
      </c>
      <c r="D277" s="233"/>
      <c r="E277" s="240"/>
      <c r="F277" s="235">
        <f>IF(OR('planning '!$H278="",'planning '!$J278=""),0,IF('planning '!$J278&gt;'planning '!$H278,MEDIAN('planning '!$J278,F$2,F$1)-MEDIAN('planning '!$H278,F$2,F$1),+('planning '!$J278&lt;'planning '!$H278)*(F$2-F$1)+MEDIAN('planning '!$J278,F$1,F$2)-MEDIAN('planning '!$H278,F$1,F$2)))-'planning '!AA278</f>
        <v>0</v>
      </c>
      <c r="G277" s="237"/>
      <c r="H277" s="235">
        <f>IF(OR('planning '!$H278="",'planning '!$J278=""),0,IF('planning '!$J278&gt;'planning '!$H278,MEDIAN('planning '!$J278,H$2,H$1)-MEDIAN('planning '!$H278,H$2,H$1),+('planning '!$J278&lt;'planning '!$H278)*(H$2-H$1)+MEDIAN('planning '!$J278,H$1,H$2)-MEDIAN('planning '!$H278,H$1,H$2)))</f>
        <v>0</v>
      </c>
      <c r="I277" s="237"/>
      <c r="J277" s="234">
        <f>IF(OR('planning '!$H278="",'planning '!$J278=""),0,IF('planning '!$J278&gt;'planning '!$H278,MEDIAN('planning '!$J278,J$2,J$1)-MEDIAN('planning '!$H278,J$2,J$1),+('planning '!$J278&lt;'planning '!$H278)*(J$2-J$1)+MEDIAN('planning '!$J278,J$1,J$2)-MEDIAN('planning '!$H278,J$1,J$2)))</f>
        <v>0.31736111111111109</v>
      </c>
      <c r="K277" s="237"/>
      <c r="M277" s="231" t="s">
        <v>21</v>
      </c>
      <c r="N277" s="261">
        <f t="shared" ca="1" si="54"/>
        <v>0</v>
      </c>
      <c r="O277" s="261">
        <f t="shared" ca="1" si="54"/>
        <v>0</v>
      </c>
      <c r="P277" s="261">
        <f t="shared" ca="1" si="54"/>
        <v>0</v>
      </c>
      <c r="Q277" s="261">
        <f t="shared" ca="1" si="54"/>
        <v>0</v>
      </c>
    </row>
    <row r="278" spans="2:17" x14ac:dyDescent="0.25">
      <c r="B278" s="231" t="str">
        <f>'planning '!F279</f>
        <v>travail</v>
      </c>
      <c r="C278" s="232">
        <f t="shared" si="55"/>
        <v>44023</v>
      </c>
      <c r="D278" s="233"/>
      <c r="E278" s="240"/>
      <c r="F278" s="235">
        <f>IF(OR('planning '!$H279="",'planning '!$J279=""),0,IF('planning '!$J279&gt;'planning '!$H279,MEDIAN('planning '!$J279,F$2,F$1)-MEDIAN('planning '!$H279,F$2,F$1),+('planning '!$J279&lt;'planning '!$H279)*(F$2-F$1)+MEDIAN('planning '!$J279,F$1,F$2)-MEDIAN('planning '!$H279,F$1,F$2)))-'planning '!AA279</f>
        <v>0</v>
      </c>
      <c r="G278" s="237"/>
      <c r="H278" s="235">
        <f>IF(OR('planning '!$H279="",'planning '!$J279=""),0,IF('planning '!$J279&gt;'planning '!$H279,MEDIAN('planning '!$J279,H$2,H$1)-MEDIAN('planning '!$H279,H$2,H$1),+('planning '!$J279&lt;'planning '!$H279)*(H$2-H$1)+MEDIAN('planning '!$J279,H$1,H$2)-MEDIAN('planning '!$H279,H$1,H$2)))</f>
        <v>0</v>
      </c>
      <c r="I278" s="237"/>
      <c r="J278" s="234">
        <f>IF(OR('planning '!$H279="",'planning '!$J279=""),0,IF('planning '!$J279&gt;'planning '!$H279,MEDIAN('planning '!$J279,J$2,J$1)-MEDIAN('planning '!$H279,J$2,J$1),+('planning '!$J279&lt;'planning '!$H279)*(J$2-J$1)+MEDIAN('planning '!$J279,J$1,J$2)-MEDIAN('planning '!$H279,J$1,J$2)))</f>
        <v>0.34305555555555556</v>
      </c>
      <c r="K278" s="237"/>
      <c r="M278" s="17"/>
      <c r="N278" s="17"/>
      <c r="O278" s="17"/>
      <c r="P278" s="17"/>
      <c r="Q278" s="17"/>
    </row>
    <row r="279" spans="2:17" x14ac:dyDescent="0.25">
      <c r="B279" s="231" t="str">
        <f>'planning '!F280</f>
        <v>off</v>
      </c>
      <c r="C279" s="232">
        <f t="shared" si="55"/>
        <v>44024</v>
      </c>
      <c r="D279" s="233">
        <f>IF(OR('planning '!$H280="",'planning '!$J280=""),0,IF('planning '!$J280&gt;'planning '!$H280,MEDIAN('planning '!$J280,D$2,D$1)-MEDIAN('planning '!$H280,D$2,D$1),+('planning '!$J280&lt;'planning '!$H280)*(D$2-D$1)+MEDIAN('planning '!$J280,D$1,D$2)-MEDIAN('planning '!$H280,D$1,D$2)))-'planning '!V280</f>
        <v>0</v>
      </c>
      <c r="E279" s="240"/>
      <c r="F279" s="235">
        <f>IF(OR('planning '!$H280="",'planning '!$J280=""),0,IF('planning '!$J280&gt;'planning '!$H280,MEDIAN('planning '!$J280,F$2,F$1)-MEDIAN('planning '!$H280,F$2,F$1),+('planning '!$J280&lt;'planning '!$H280)*(F$2-F$1)+MEDIAN('planning '!$J280,F$1,F$2)-MEDIAN('planning '!$H280,F$1,F$2)))-'planning '!AA280</f>
        <v>0</v>
      </c>
      <c r="G279" s="237"/>
      <c r="H279" s="235">
        <f>IF(OR('planning '!$H280="",'planning '!$J280=""),0,IF('planning '!$J280&gt;'planning '!$H280,MEDIAN('planning '!$J280,H$2,H$1)-MEDIAN('planning '!$H280,H$2,H$1),+('planning '!$J280&lt;'planning '!$H280)*(H$2-H$1)+MEDIAN('planning '!$J280,H$1,H$2)-MEDIAN('planning '!$H280,H$1,H$2)))</f>
        <v>0</v>
      </c>
      <c r="I279" s="237"/>
      <c r="J279" s="234">
        <f>IF(OR('planning '!$H280="",'planning '!$J280=""),0,IF('planning '!$J280&gt;'planning '!$H280,MEDIAN('planning '!$J280,J$2,J$1)-MEDIAN('planning '!$H280,J$2,J$1),+('planning '!$J280&lt;'planning '!$H280)*(J$2-J$1)+MEDIAN('planning '!$J280,J$1,J$2)-MEDIAN('planning '!$H280,J$1,J$2)))</f>
        <v>0</v>
      </c>
      <c r="K279" s="237"/>
      <c r="M279" s="17"/>
      <c r="N279" s="17"/>
      <c r="O279" s="17"/>
      <c r="P279" s="17"/>
      <c r="Q279" s="17"/>
    </row>
    <row r="280" spans="2:17" ht="15.75" thickBot="1" x14ac:dyDescent="0.3">
      <c r="B280" s="231" t="str">
        <f>'planning '!F281</f>
        <v>off</v>
      </c>
      <c r="C280" s="232">
        <f t="shared" si="55"/>
        <v>44025</v>
      </c>
      <c r="D280" s="233">
        <f>IF(OR('planning '!$H281="",'planning '!$J281=""),0,IF('planning '!$J281&gt;'planning '!$H281,MEDIAN('planning '!$J281,D$2,D$1)-MEDIAN('planning '!$H281,D$2,D$1),+('planning '!$J281&lt;'planning '!$H281)*(D$2-D$1)+MEDIAN('planning '!$J281,D$1,D$2)-MEDIAN('planning '!$H281,D$1,D$2)))-'planning '!V281</f>
        <v>0</v>
      </c>
      <c r="E280" s="241"/>
      <c r="F280" s="235">
        <f>IF(OR('planning '!$H281="",'planning '!$J281=""),0,IF('planning '!$J281&gt;'planning '!$H281,MEDIAN('planning '!$J281,F$2,F$1)-MEDIAN('planning '!$H281,F$2,F$1),+('planning '!$J281&lt;'planning '!$H281)*(F$2-F$1)+MEDIAN('planning '!$J281,F$1,F$2)-MEDIAN('planning '!$H281,F$1,F$2)))-'planning '!AA281</f>
        <v>0</v>
      </c>
      <c r="G280" s="238"/>
      <c r="H280" s="235">
        <f>IF(OR('planning '!$H281="",'planning '!$J281=""),0,IF('planning '!$J281&gt;'planning '!$H281,MEDIAN('planning '!$J281,H$2,H$1)-MEDIAN('planning '!$H281,H$2,H$1),+('planning '!$J281&lt;'planning '!$H281)*(H$2-H$1)+MEDIAN('planning '!$J281,H$1,H$2)-MEDIAN('planning '!$H281,H$1,H$2)))</f>
        <v>0</v>
      </c>
      <c r="I280" s="238"/>
      <c r="J280" s="234">
        <f>IF(OR('planning '!$H281="",'planning '!$J281=""),0,IF('planning '!$J281&gt;'planning '!$H281,MEDIAN('planning '!$J281,J$2,J$1)-MEDIAN('planning '!$H281,J$2,J$1),+('planning '!$J281&lt;'planning '!$H281)*(J$2-J$1)+MEDIAN('planning '!$J281,J$1,J$2)-MEDIAN('planning '!$H281,J$1,J$2)))</f>
        <v>0</v>
      </c>
      <c r="K280" s="238"/>
      <c r="M280" s="17"/>
      <c r="N280" s="17"/>
      <c r="O280" s="17"/>
      <c r="P280" s="17"/>
      <c r="Q280" s="17"/>
    </row>
    <row r="281" spans="2:17" x14ac:dyDescent="0.25">
      <c r="M281" s="17"/>
      <c r="N281" s="17"/>
      <c r="O281" s="17"/>
      <c r="P281" s="17"/>
      <c r="Q281" s="17"/>
    </row>
    <row r="282" spans="2:17" x14ac:dyDescent="0.25">
      <c r="M282" s="17"/>
      <c r="N282" s="17"/>
      <c r="O282" s="17"/>
      <c r="P282" s="17"/>
      <c r="Q282" s="17"/>
    </row>
    <row r="283" spans="2:17" ht="15.75" thickBot="1" x14ac:dyDescent="0.3">
      <c r="M283" s="17"/>
      <c r="N283" s="17"/>
      <c r="O283" s="17"/>
      <c r="P283" s="17"/>
      <c r="Q283" s="17"/>
    </row>
    <row r="284" spans="2:17" x14ac:dyDescent="0.25">
      <c r="B284" s="231" t="str">
        <f>'planning '!F285</f>
        <v>travail</v>
      </c>
      <c r="C284" s="232">
        <f>'planning '!E285</f>
        <v>44026</v>
      </c>
      <c r="D284" s="233"/>
      <c r="E284" s="239"/>
      <c r="F284" s="235">
        <f>IF(OR('planning '!$H285="",'planning '!$J285=""),0,IF('planning '!$J285&gt;'planning '!$H285,MEDIAN('planning '!$J285,F$2,F$1)-MEDIAN('planning '!$H285,F$2,F$1),+('planning '!$J285&lt;'planning '!$H285)*(F$2-F$1)+MEDIAN('planning '!$J285,F$1,F$2)-MEDIAN('planning '!$H285,F$1,F$2)))-'planning '!AA285</f>
        <v>0</v>
      </c>
      <c r="G284" s="236"/>
      <c r="H284" s="235">
        <f>IF(OR('planning '!$H285="",'planning '!$J285=""),0,IF('planning '!$J285&gt;'planning '!$H285,MEDIAN('planning '!$J285,H$2,H$1)-MEDIAN('planning '!$H285,H$2,H$1),+('planning '!$J285&lt;'planning '!$H285)*(H$2-H$1)+MEDIAN('planning '!$J285,H$1,H$2)-MEDIAN('planning '!$H285,H$1,H$2)))</f>
        <v>0</v>
      </c>
      <c r="I284" s="236"/>
      <c r="J284" s="234">
        <f>IF(OR('planning '!$H285="",'planning '!$J285=""),0,IF('planning '!$J285&gt;'planning '!$H285,MEDIAN('planning '!$J285,J$2,J$1)-MEDIAN('planning '!$H285,J$2,J$1),+('planning '!$J285&lt;'planning '!$H285)*(J$2-J$1)+MEDIAN('planning '!$J285,J$1,J$2)-MEDIAN('planning '!$H285,J$1,J$2)))</f>
        <v>0.35</v>
      </c>
      <c r="K284" s="236"/>
      <c r="M284" s="17"/>
      <c r="N284" s="262"/>
      <c r="O284" s="231" t="s">
        <v>114</v>
      </c>
      <c r="P284" s="17"/>
      <c r="Q284" s="17"/>
    </row>
    <row r="285" spans="2:17" x14ac:dyDescent="0.25">
      <c r="B285" s="231" t="str">
        <f>'planning '!F286</f>
        <v>travail</v>
      </c>
      <c r="C285" s="232">
        <f>C284+1</f>
        <v>44027</v>
      </c>
      <c r="D285" s="233"/>
      <c r="E285" s="240"/>
      <c r="F285" s="235">
        <f>IF(OR('planning '!$H286="",'planning '!$J286=""),0,IF('planning '!$J286&gt;'planning '!$H286,MEDIAN('planning '!$J286,F$2,F$1)-MEDIAN('planning '!$H286,F$2,F$1),+('planning '!$J286&lt;'planning '!$H286)*(F$2-F$1)+MEDIAN('planning '!$J286,F$1,F$2)-MEDIAN('planning '!$H286,F$1,F$2)))-'planning '!AA286</f>
        <v>0</v>
      </c>
      <c r="G285" s="237"/>
      <c r="H285" s="235">
        <f>IF(OR('planning '!$H286="",'planning '!$J286=""),0,IF('planning '!$J286&gt;'planning '!$H286,MEDIAN('planning '!$J286,H$2,H$1)-MEDIAN('planning '!$H286,H$2,H$1),+('planning '!$J286&lt;'planning '!$H286)*(H$2-H$1)+MEDIAN('planning '!$J286,H$1,H$2)-MEDIAN('planning '!$H286,H$1,H$2)))</f>
        <v>0</v>
      </c>
      <c r="I285" s="237"/>
      <c r="J285" s="234">
        <f>IF(OR('planning '!$H286="",'planning '!$J286=""),0,IF('planning '!$J286&gt;'planning '!$H286,MEDIAN('planning '!$J286,J$2,J$1)-MEDIAN('planning '!$H286,J$2,J$1),+('planning '!$J286&lt;'planning '!$H286)*(J$2-J$1)+MEDIAN('planning '!$J286,J$1,J$2)-MEDIAN('planning '!$H286,J$1,J$2)))</f>
        <v>0.28611111111111109</v>
      </c>
      <c r="K285" s="237"/>
      <c r="M285" s="17"/>
      <c r="N285" s="243" t="s">
        <v>117</v>
      </c>
      <c r="O285" s="243" t="s">
        <v>115</v>
      </c>
      <c r="P285" s="243" t="s">
        <v>116</v>
      </c>
      <c r="Q285" s="243" t="s">
        <v>118</v>
      </c>
    </row>
    <row r="286" spans="2:17" x14ac:dyDescent="0.25">
      <c r="B286" s="231" t="str">
        <f>'planning '!F287</f>
        <v>rtt</v>
      </c>
      <c r="C286" s="232">
        <f>C285+1</f>
        <v>44028</v>
      </c>
      <c r="D286" s="233"/>
      <c r="E286" s="240"/>
      <c r="F286" s="235">
        <f>IF(OR('planning '!$H287="",'planning '!$J287=""),0,IF('planning '!$J287&gt;'planning '!$H287,MEDIAN('planning '!$J287,F$2,F$1)-MEDIAN('planning '!$H287,F$2,F$1),+('planning '!$J287&lt;'planning '!$H287)*(F$2-F$1)+MEDIAN('planning '!$J287,F$1,F$2)-MEDIAN('planning '!$H287,F$1,F$2)))-'planning '!AA287</f>
        <v>0</v>
      </c>
      <c r="G286" s="237"/>
      <c r="H286" s="235">
        <f>IF(OR('planning '!$H287="",'planning '!$J287=""),0,IF('planning '!$J287&gt;'planning '!$H287,MEDIAN('planning '!$J287,H$2,H$1)-MEDIAN('planning '!$H287,H$2,H$1),+('planning '!$J287&lt;'planning '!$H287)*(H$2-H$1)+MEDIAN('planning '!$J287,H$1,H$2)-MEDIAN('planning '!$H287,H$1,H$2)))</f>
        <v>0</v>
      </c>
      <c r="I286" s="237"/>
      <c r="J286" s="234">
        <f>IF(OR('planning '!$H287="",'planning '!$J287=""),0,IF('planning '!$J287&gt;'planning '!$H287,MEDIAN('planning '!$J287,J$2,J$1)-MEDIAN('planning '!$H287,J$2,J$1),+('planning '!$J287&lt;'planning '!$H287)*(J$2-J$1)+MEDIAN('planning '!$J287,J$1,J$2)-MEDIAN('planning '!$H287,J$1,J$2)))</f>
        <v>0</v>
      </c>
      <c r="K286" s="237"/>
      <c r="M286" s="231" t="s">
        <v>111</v>
      </c>
      <c r="N286" s="261">
        <f t="shared" ref="N286:Q287" ca="1" si="56">SUMIF(OFFSET($C284:$C291,0,MATCH(N$10,$B$5:$H$5,0)-1,7,1),$K287,OFFSET($B284:$B290,0,MATCH(N$10,$B$5:$H$5,0)-1,7,1))</f>
        <v>0</v>
      </c>
      <c r="O286" s="261">
        <f t="shared" ca="1" si="56"/>
        <v>0</v>
      </c>
      <c r="P286" s="261">
        <f t="shared" ca="1" si="56"/>
        <v>0</v>
      </c>
      <c r="Q286" s="261">
        <f t="shared" ca="1" si="56"/>
        <v>0</v>
      </c>
    </row>
    <row r="287" spans="2:17" x14ac:dyDescent="0.25">
      <c r="B287" s="231" t="str">
        <f>'planning '!F288</f>
        <v>travail</v>
      </c>
      <c r="C287" s="232">
        <f t="shared" ref="C287:C290" si="57">C286+1</f>
        <v>44029</v>
      </c>
      <c r="D287" s="233"/>
      <c r="E287" s="240"/>
      <c r="F287" s="235">
        <f>IF(OR('planning '!$H288="",'planning '!$J288=""),0,IF('planning '!$J288&gt;'planning '!$H288,MEDIAN('planning '!$J288,F$2,F$1)-MEDIAN('planning '!$H288,F$2,F$1),+('planning '!$J288&lt;'planning '!$H288)*(F$2-F$1)+MEDIAN('planning '!$J288,F$1,F$2)-MEDIAN('planning '!$H288,F$1,F$2)))-'planning '!AA288</f>
        <v>0</v>
      </c>
      <c r="G287" s="237"/>
      <c r="H287" s="235">
        <f>IF(OR('planning '!$H288="",'planning '!$J288=""),0,IF('planning '!$J288&gt;'planning '!$H288,MEDIAN('planning '!$J288,H$2,H$1)-MEDIAN('planning '!$H288,H$2,H$1),+('planning '!$J288&lt;'planning '!$H288)*(H$2-H$1)+MEDIAN('planning '!$J288,H$1,H$2)-MEDIAN('planning '!$H288,H$1,H$2)))</f>
        <v>0</v>
      </c>
      <c r="I287" s="237"/>
      <c r="J287" s="234">
        <f>IF(OR('planning '!$H288="",'planning '!$J288=""),0,IF('planning '!$J288&gt;'planning '!$H288,MEDIAN('planning '!$J288,J$2,J$1)-MEDIAN('planning '!$H288,J$2,J$1),+('planning '!$J288&lt;'planning '!$H288)*(J$2-J$1)+MEDIAN('planning '!$J288,J$1,J$2)-MEDIAN('planning '!$H288,J$1,J$2)))</f>
        <v>0.3215277777777778</v>
      </c>
      <c r="K287" s="237"/>
      <c r="M287" s="231" t="s">
        <v>21</v>
      </c>
      <c r="N287" s="261">
        <f t="shared" ca="1" si="56"/>
        <v>0</v>
      </c>
      <c r="O287" s="261">
        <f t="shared" ca="1" si="56"/>
        <v>0</v>
      </c>
      <c r="P287" s="261">
        <f t="shared" ca="1" si="56"/>
        <v>0</v>
      </c>
      <c r="Q287" s="261">
        <f t="shared" ca="1" si="56"/>
        <v>0</v>
      </c>
    </row>
    <row r="288" spans="2:17" x14ac:dyDescent="0.25">
      <c r="B288" s="231" t="str">
        <f>'planning '!F289</f>
        <v>travail</v>
      </c>
      <c r="C288" s="232">
        <f t="shared" si="57"/>
        <v>44030</v>
      </c>
      <c r="D288" s="233"/>
      <c r="E288" s="240"/>
      <c r="F288" s="235">
        <f>IF(OR('planning '!$H289="",'planning '!$J289=""),0,IF('planning '!$J289&gt;'planning '!$H289,MEDIAN('planning '!$J289,F$2,F$1)-MEDIAN('planning '!$H289,F$2,F$1),+('planning '!$J289&lt;'planning '!$H289)*(F$2-F$1)+MEDIAN('planning '!$J289,F$1,F$2)-MEDIAN('planning '!$H289,F$1,F$2)))-'planning '!AA289</f>
        <v>0.14583333333333326</v>
      </c>
      <c r="G288" s="237"/>
      <c r="H288" s="235">
        <f>IF(OR('planning '!$H289="",'planning '!$J289=""),0,IF('planning '!$J289&gt;'planning '!$H289,MEDIAN('planning '!$J289,H$2,H$1)-MEDIAN('planning '!$H289,H$2,H$1),+('planning '!$J289&lt;'planning '!$H289)*(H$2-H$1)+MEDIAN('planning '!$J289,H$1,H$2)-MEDIAN('planning '!$H289,H$1,H$2)))</f>
        <v>4.1666666666666741E-2</v>
      </c>
      <c r="I288" s="237"/>
      <c r="J288" s="234">
        <f>IF(OR('planning '!$H289="",'planning '!$J289=""),0,IF('planning '!$J289&gt;'planning '!$H289,MEDIAN('planning '!$J289,J$2,J$1)-MEDIAN('planning '!$H289,J$2,J$1),+('planning '!$J289&lt;'planning '!$H289)*(J$2-J$1)+MEDIAN('planning '!$J289,J$1,J$2)-MEDIAN('planning '!$H289,J$1,J$2)))</f>
        <v>0.54583333333333339</v>
      </c>
      <c r="K288" s="237"/>
      <c r="M288" s="17"/>
      <c r="N288" s="17"/>
      <c r="O288" s="17"/>
      <c r="P288" s="17"/>
      <c r="Q288" s="17"/>
    </row>
    <row r="289" spans="2:17" x14ac:dyDescent="0.25">
      <c r="B289" s="231" t="str">
        <f>'planning '!F290</f>
        <v>off</v>
      </c>
      <c r="C289" s="232">
        <f t="shared" si="57"/>
        <v>44031</v>
      </c>
      <c r="D289" s="233">
        <f>IF(OR('planning '!$H290="",'planning '!$J290=""),0,IF('planning '!$J290&gt;'planning '!$H290,MEDIAN('planning '!$J290,D$2,D$1)-MEDIAN('planning '!$H290,D$2,D$1),+('planning '!$J290&lt;'planning '!$H290)*(D$2-D$1)+MEDIAN('planning '!$J290,D$1,D$2)-MEDIAN('planning '!$H290,D$1,D$2)))-'planning '!V290</f>
        <v>0</v>
      </c>
      <c r="E289" s="240"/>
      <c r="F289" s="235">
        <f>IF(OR('planning '!$H290="",'planning '!$J290=""),0,IF('planning '!$J290&gt;'planning '!$H290,MEDIAN('planning '!$J290,F$2,F$1)-MEDIAN('planning '!$H290,F$2,F$1),+('planning '!$J290&lt;'planning '!$H290)*(F$2-F$1)+MEDIAN('planning '!$J290,F$1,F$2)-MEDIAN('planning '!$H290,F$1,F$2)))-'planning '!AA290</f>
        <v>0</v>
      </c>
      <c r="G289" s="237"/>
      <c r="H289" s="235">
        <f>IF(OR('planning '!$H290="",'planning '!$J290=""),0,IF('planning '!$J290&gt;'planning '!$H290,MEDIAN('planning '!$J290,H$2,H$1)-MEDIAN('planning '!$H290,H$2,H$1),+('planning '!$J290&lt;'planning '!$H290)*(H$2-H$1)+MEDIAN('planning '!$J290,H$1,H$2)-MEDIAN('planning '!$H290,H$1,H$2)))</f>
        <v>0</v>
      </c>
      <c r="I289" s="237"/>
      <c r="J289" s="234">
        <f>IF(OR('planning '!$H290="",'planning '!$J290=""),0,IF('planning '!$J290&gt;'planning '!$H290,MEDIAN('planning '!$J290,J$2,J$1)-MEDIAN('planning '!$H290,J$2,J$1),+('planning '!$J290&lt;'planning '!$H290)*(J$2-J$1)+MEDIAN('planning '!$J290,J$1,J$2)-MEDIAN('planning '!$H290,J$1,J$2)))</f>
        <v>0</v>
      </c>
      <c r="K289" s="237"/>
      <c r="M289" s="17"/>
      <c r="N289" s="17"/>
      <c r="O289" s="17"/>
      <c r="P289" s="17"/>
      <c r="Q289" s="17"/>
    </row>
    <row r="290" spans="2:17" ht="15.75" thickBot="1" x14ac:dyDescent="0.3">
      <c r="B290" s="231" t="str">
        <f>'planning '!F291</f>
        <v>off</v>
      </c>
      <c r="C290" s="232">
        <f t="shared" si="57"/>
        <v>44032</v>
      </c>
      <c r="D290" s="233">
        <f>IF(OR('planning '!$H291="",'planning '!$J291=""),0,IF('planning '!$J291&gt;'planning '!$H291,MEDIAN('planning '!$J291,D$2,D$1)-MEDIAN('planning '!$H291,D$2,D$1),+('planning '!$J291&lt;'planning '!$H291)*(D$2-D$1)+MEDIAN('planning '!$J291,D$1,D$2)-MEDIAN('planning '!$H291,D$1,D$2)))-'planning '!V291</f>
        <v>0</v>
      </c>
      <c r="E290" s="241"/>
      <c r="F290" s="235">
        <f>IF(OR('planning '!$H291="",'planning '!$J291=""),0,IF('planning '!$J291&gt;'planning '!$H291,MEDIAN('planning '!$J291,F$2,F$1)-MEDIAN('planning '!$H291,F$2,F$1),+('planning '!$J291&lt;'planning '!$H291)*(F$2-F$1)+MEDIAN('planning '!$J291,F$1,F$2)-MEDIAN('planning '!$H291,F$1,F$2)))-'planning '!AA291</f>
        <v>0</v>
      </c>
      <c r="G290" s="238"/>
      <c r="H290" s="235">
        <f>IF(OR('planning '!$H291="",'planning '!$J291=""),0,IF('planning '!$J291&gt;'planning '!$H291,MEDIAN('planning '!$J291,H$2,H$1)-MEDIAN('planning '!$H291,H$2,H$1),+('planning '!$J291&lt;'planning '!$H291)*(H$2-H$1)+MEDIAN('planning '!$J291,H$1,H$2)-MEDIAN('planning '!$H291,H$1,H$2)))</f>
        <v>0</v>
      </c>
      <c r="I290" s="238"/>
      <c r="J290" s="234">
        <f>IF(OR('planning '!$H291="",'planning '!$J291=""),0,IF('planning '!$J291&gt;'planning '!$H291,MEDIAN('planning '!$J291,J$2,J$1)-MEDIAN('planning '!$H291,J$2,J$1),+('planning '!$J291&lt;'planning '!$H291)*(J$2-J$1)+MEDIAN('planning '!$J291,J$1,J$2)-MEDIAN('planning '!$H291,J$1,J$2)))</f>
        <v>0</v>
      </c>
      <c r="K290" s="238"/>
      <c r="M290" s="17"/>
      <c r="N290" s="17"/>
      <c r="O290" s="17"/>
      <c r="P290" s="17"/>
      <c r="Q290" s="17"/>
    </row>
    <row r="291" spans="2:17" x14ac:dyDescent="0.25">
      <c r="M291" s="17"/>
      <c r="N291" s="17"/>
      <c r="O291" s="17"/>
      <c r="P291" s="17"/>
      <c r="Q291" s="17"/>
    </row>
    <row r="292" spans="2:17" x14ac:dyDescent="0.25">
      <c r="M292" s="17"/>
      <c r="N292" s="17"/>
      <c r="O292" s="17"/>
      <c r="P292" s="17"/>
      <c r="Q292" s="17"/>
    </row>
    <row r="293" spans="2:17" ht="15.75" thickBot="1" x14ac:dyDescent="0.3">
      <c r="M293" s="17"/>
      <c r="N293" s="17"/>
      <c r="O293" s="17"/>
      <c r="P293" s="17"/>
      <c r="Q293" s="17"/>
    </row>
    <row r="294" spans="2:17" x14ac:dyDescent="0.25">
      <c r="B294" s="231" t="str">
        <f>'planning '!F295</f>
        <v>récupération</v>
      </c>
      <c r="C294" s="232">
        <f>'planning '!E295</f>
        <v>44033</v>
      </c>
      <c r="D294" s="233"/>
      <c r="E294" s="239"/>
      <c r="F294" s="235">
        <f>IF(OR('planning '!$H295="",'planning '!$J295=""),0,IF('planning '!$J295&gt;'planning '!$H295,MEDIAN('planning '!$J295,F$2,F$1)-MEDIAN('planning '!$H295,F$2,F$1),+('planning '!$J295&lt;'planning '!$H295)*(F$2-F$1)+MEDIAN('planning '!$J295,F$1,F$2)-MEDIAN('planning '!$H295,F$1,F$2)))-'planning '!AA295</f>
        <v>0</v>
      </c>
      <c r="G294" s="236"/>
      <c r="H294" s="235">
        <f>IF(OR('planning '!$H295="",'planning '!$J295=""),0,IF('planning '!$J295&gt;'planning '!$H295,MEDIAN('planning '!$J295,H$2,H$1)-MEDIAN('planning '!$H295,H$2,H$1),+('planning '!$J295&lt;'planning '!$H295)*(H$2-H$1)+MEDIAN('planning '!$J295,H$1,H$2)-MEDIAN('planning '!$H295,H$1,H$2)))</f>
        <v>0</v>
      </c>
      <c r="I294" s="236"/>
      <c r="J294" s="234">
        <f>IF(OR('planning '!$H295="",'planning '!$J295=""),0,IF('planning '!$J295&gt;'planning '!$H295,MEDIAN('planning '!$J295,J$2,J$1)-MEDIAN('planning '!$H295,J$2,J$1),+('planning '!$J295&lt;'planning '!$H295)*(J$2-J$1)+MEDIAN('planning '!$J295,J$1,J$2)-MEDIAN('planning '!$H295,J$1,J$2)))</f>
        <v>0</v>
      </c>
      <c r="K294" s="236"/>
      <c r="M294" s="17"/>
      <c r="N294" s="264"/>
      <c r="O294" s="265" t="s">
        <v>114</v>
      </c>
      <c r="P294" s="266"/>
      <c r="Q294" s="17"/>
    </row>
    <row r="295" spans="2:17" x14ac:dyDescent="0.25">
      <c r="B295" s="231" t="str">
        <f>'planning '!F296</f>
        <v>récupération</v>
      </c>
      <c r="C295" s="232">
        <f>C294+1</f>
        <v>44034</v>
      </c>
      <c r="D295" s="233"/>
      <c r="E295" s="240"/>
      <c r="F295" s="235">
        <f>IF(OR('planning '!$H296="",'planning '!$J296=""),0,IF('planning '!$J296&gt;'planning '!$H296,MEDIAN('planning '!$J296,F$2,F$1)-MEDIAN('planning '!$H296,F$2,F$1),+('planning '!$J296&lt;'planning '!$H296)*(F$2-F$1)+MEDIAN('planning '!$J296,F$1,F$2)-MEDIAN('planning '!$H296,F$1,F$2)))-'planning '!AA296</f>
        <v>0</v>
      </c>
      <c r="G295" s="237"/>
      <c r="H295" s="235">
        <f>IF(OR('planning '!$H296="",'planning '!$J296=""),0,IF('planning '!$J296&gt;'planning '!$H296,MEDIAN('planning '!$J296,H$2,H$1)-MEDIAN('planning '!$H296,H$2,H$1),+('planning '!$J296&lt;'planning '!$H296)*(H$2-H$1)+MEDIAN('planning '!$J296,H$1,H$2)-MEDIAN('planning '!$H296,H$1,H$2)))</f>
        <v>0</v>
      </c>
      <c r="I295" s="237"/>
      <c r="J295" s="234">
        <f>IF(OR('planning '!$H296="",'planning '!$J296=""),0,IF('planning '!$J296&gt;'planning '!$H296,MEDIAN('planning '!$J296,J$2,J$1)-MEDIAN('planning '!$H296,J$2,J$1),+('planning '!$J296&lt;'planning '!$H296)*(J$2-J$1)+MEDIAN('planning '!$J296,J$1,J$2)-MEDIAN('planning '!$H296,J$1,J$2)))</f>
        <v>0</v>
      </c>
      <c r="K295" s="237"/>
      <c r="M295" s="17"/>
      <c r="N295" s="263" t="s">
        <v>117</v>
      </c>
      <c r="O295" s="263" t="s">
        <v>115</v>
      </c>
      <c r="P295" s="263" t="s">
        <v>116</v>
      </c>
      <c r="Q295" s="243" t="s">
        <v>118</v>
      </c>
    </row>
    <row r="296" spans="2:17" x14ac:dyDescent="0.25">
      <c r="B296" s="231" t="str">
        <f>'planning '!F297</f>
        <v>récupération</v>
      </c>
      <c r="C296" s="232">
        <f>C295+1</f>
        <v>44035</v>
      </c>
      <c r="D296" s="233"/>
      <c r="E296" s="240"/>
      <c r="F296" s="235">
        <f>IF(OR('planning '!$H297="",'planning '!$J297=""),0,IF('planning '!$J297&gt;'planning '!$H297,MEDIAN('planning '!$J297,F$2,F$1)-MEDIAN('planning '!$H297,F$2,F$1),+('planning '!$J297&lt;'planning '!$H297)*(F$2-F$1)+MEDIAN('planning '!$J297,F$1,F$2)-MEDIAN('planning '!$H297,F$1,F$2)))-'planning '!AA297</f>
        <v>0</v>
      </c>
      <c r="G296" s="237"/>
      <c r="H296" s="235">
        <f>IF(OR('planning '!$H297="",'planning '!$J297=""),0,IF('planning '!$J297&gt;'planning '!$H297,MEDIAN('planning '!$J297,H$2,H$1)-MEDIAN('planning '!$H297,H$2,H$1),+('planning '!$J297&lt;'planning '!$H297)*(H$2-H$1)+MEDIAN('planning '!$J297,H$1,H$2)-MEDIAN('planning '!$H297,H$1,H$2)))</f>
        <v>0</v>
      </c>
      <c r="I296" s="237"/>
      <c r="J296" s="234">
        <f>IF(OR('planning '!$H297="",'planning '!$J297=""),0,IF('planning '!$J297&gt;'planning '!$H297,MEDIAN('planning '!$J297,J$2,J$1)-MEDIAN('planning '!$H297,J$2,J$1),+('planning '!$J297&lt;'planning '!$H297)*(J$2-J$1)+MEDIAN('planning '!$J297,J$1,J$2)-MEDIAN('planning '!$H297,J$1,J$2)))</f>
        <v>0</v>
      </c>
      <c r="K296" s="237"/>
      <c r="M296" s="231" t="s">
        <v>111</v>
      </c>
      <c r="N296" s="261">
        <f t="shared" ref="N296:Q297" ca="1" si="58">SUMIF(OFFSET($C294:$C301,0,MATCH(N$10,$B$5:$H$5,0)-1,7,1),$K297,OFFSET($B294:$B300,0,MATCH(N$10,$B$5:$H$5,0)-1,7,1))</f>
        <v>0</v>
      </c>
      <c r="O296" s="261">
        <f t="shared" ca="1" si="58"/>
        <v>0</v>
      </c>
      <c r="P296" s="261">
        <f t="shared" ca="1" si="58"/>
        <v>0</v>
      </c>
      <c r="Q296" s="261">
        <f t="shared" ca="1" si="58"/>
        <v>0</v>
      </c>
    </row>
    <row r="297" spans="2:17" x14ac:dyDescent="0.25">
      <c r="B297" s="231" t="str">
        <f>'planning '!F298</f>
        <v>récupération</v>
      </c>
      <c r="C297" s="232">
        <f t="shared" ref="C297:C300" si="59">C296+1</f>
        <v>44036</v>
      </c>
      <c r="D297" s="233"/>
      <c r="E297" s="240"/>
      <c r="F297" s="235">
        <f>IF(OR('planning '!$H298="",'planning '!$J298=""),0,IF('planning '!$J298&gt;'planning '!$H298,MEDIAN('planning '!$J298,F$2,F$1)-MEDIAN('planning '!$H298,F$2,F$1),+('planning '!$J298&lt;'planning '!$H298)*(F$2-F$1)+MEDIAN('planning '!$J298,F$1,F$2)-MEDIAN('planning '!$H298,F$1,F$2)))-'planning '!AA298</f>
        <v>0</v>
      </c>
      <c r="G297" s="237"/>
      <c r="H297" s="235">
        <f>IF(OR('planning '!$H298="",'planning '!$J298=""),0,IF('planning '!$J298&gt;'planning '!$H298,MEDIAN('planning '!$J298,H$2,H$1)-MEDIAN('planning '!$H298,H$2,H$1),+('planning '!$J298&lt;'planning '!$H298)*(H$2-H$1)+MEDIAN('planning '!$J298,H$1,H$2)-MEDIAN('planning '!$H298,H$1,H$2)))</f>
        <v>0</v>
      </c>
      <c r="I297" s="237"/>
      <c r="J297" s="234">
        <f>IF(OR('planning '!$H298="",'planning '!$J298=""),0,IF('planning '!$J298&gt;'planning '!$H298,MEDIAN('planning '!$J298,J$2,J$1)-MEDIAN('planning '!$H298,J$2,J$1),+('planning '!$J298&lt;'planning '!$H298)*(J$2-J$1)+MEDIAN('planning '!$J298,J$1,J$2)-MEDIAN('planning '!$H298,J$1,J$2)))</f>
        <v>0</v>
      </c>
      <c r="K297" s="237"/>
      <c r="M297" s="231" t="s">
        <v>21</v>
      </c>
      <c r="N297" s="261">
        <f t="shared" ca="1" si="58"/>
        <v>0</v>
      </c>
      <c r="O297" s="261">
        <f t="shared" ca="1" si="58"/>
        <v>0</v>
      </c>
      <c r="P297" s="261">
        <f t="shared" ca="1" si="58"/>
        <v>0</v>
      </c>
      <c r="Q297" s="261">
        <f t="shared" ca="1" si="58"/>
        <v>0</v>
      </c>
    </row>
    <row r="298" spans="2:17" x14ac:dyDescent="0.25">
      <c r="B298" s="231" t="str">
        <f>'planning '!F299</f>
        <v>récupération</v>
      </c>
      <c r="C298" s="232">
        <f t="shared" si="59"/>
        <v>44037</v>
      </c>
      <c r="D298" s="233"/>
      <c r="E298" s="240"/>
      <c r="F298" s="235">
        <f>IF(OR('planning '!$H299="",'planning '!$J299=""),0,IF('planning '!$J299&gt;'planning '!$H299,MEDIAN('planning '!$J299,F$2,F$1)-MEDIAN('planning '!$H299,F$2,F$1),+('planning '!$J299&lt;'planning '!$H299)*(F$2-F$1)+MEDIAN('planning '!$J299,F$1,F$2)-MEDIAN('planning '!$H299,F$1,F$2)))-'planning '!AA299</f>
        <v>0</v>
      </c>
      <c r="G298" s="237"/>
      <c r="H298" s="235">
        <f>IF(OR('planning '!$H299="",'planning '!$J299=""),0,IF('planning '!$J299&gt;'planning '!$H299,MEDIAN('planning '!$J299,H$2,H$1)-MEDIAN('planning '!$H299,H$2,H$1),+('planning '!$J299&lt;'planning '!$H299)*(H$2-H$1)+MEDIAN('planning '!$J299,H$1,H$2)-MEDIAN('planning '!$H299,H$1,H$2)))</f>
        <v>0</v>
      </c>
      <c r="I298" s="237"/>
      <c r="J298" s="234">
        <f>IF(OR('planning '!$H299="",'planning '!$J299=""),0,IF('planning '!$J299&gt;'planning '!$H299,MEDIAN('planning '!$J299,J$2,J$1)-MEDIAN('planning '!$H299,J$2,J$1),+('planning '!$J299&lt;'planning '!$H299)*(J$2-J$1)+MEDIAN('planning '!$J299,J$1,J$2)-MEDIAN('planning '!$H299,J$1,J$2)))</f>
        <v>0</v>
      </c>
      <c r="K298" s="237"/>
      <c r="M298" s="17"/>
      <c r="N298" s="17"/>
      <c r="O298" s="17"/>
      <c r="P298" s="17"/>
      <c r="Q298" s="17"/>
    </row>
    <row r="299" spans="2:17" x14ac:dyDescent="0.25">
      <c r="B299" s="231" t="str">
        <f>'planning '!F300</f>
        <v>off</v>
      </c>
      <c r="C299" s="232">
        <f t="shared" si="59"/>
        <v>44038</v>
      </c>
      <c r="D299" s="233">
        <f>IF(OR('planning '!$H300="",'planning '!$J300=""),0,IF('planning '!$J300&gt;'planning '!$H300,MEDIAN('planning '!$J300,D$2,D$1)-MEDIAN('planning '!$H300,D$2,D$1),+('planning '!$J300&lt;'planning '!$H300)*(D$2-D$1)+MEDIAN('planning '!$J300,D$1,D$2)-MEDIAN('planning '!$H300,D$1,D$2)))-'planning '!V300</f>
        <v>0</v>
      </c>
      <c r="E299" s="240"/>
      <c r="F299" s="235">
        <f>IF(OR('planning '!$H300="",'planning '!$J300=""),0,IF('planning '!$J300&gt;'planning '!$H300,MEDIAN('planning '!$J300,F$2,F$1)-MEDIAN('planning '!$H300,F$2,F$1),+('planning '!$J300&lt;'planning '!$H300)*(F$2-F$1)+MEDIAN('planning '!$J300,F$1,F$2)-MEDIAN('planning '!$H300,F$1,F$2)))-'planning '!AA300</f>
        <v>0</v>
      </c>
      <c r="G299" s="237"/>
      <c r="H299" s="235">
        <f>IF(OR('planning '!$H300="",'planning '!$J300=""),0,IF('planning '!$J300&gt;'planning '!$H300,MEDIAN('planning '!$J300,H$2,H$1)-MEDIAN('planning '!$H300,H$2,H$1),+('planning '!$J300&lt;'planning '!$H300)*(H$2-H$1)+MEDIAN('planning '!$J300,H$1,H$2)-MEDIAN('planning '!$H300,H$1,H$2)))</f>
        <v>0</v>
      </c>
      <c r="I299" s="237"/>
      <c r="J299" s="234">
        <f>IF(OR('planning '!$H300="",'planning '!$J300=""),0,IF('planning '!$J300&gt;'planning '!$H300,MEDIAN('planning '!$J300,J$2,J$1)-MEDIAN('planning '!$H300,J$2,J$1),+('planning '!$J300&lt;'planning '!$H300)*(J$2-J$1)+MEDIAN('planning '!$J300,J$1,J$2)-MEDIAN('planning '!$H300,J$1,J$2)))</f>
        <v>0</v>
      </c>
      <c r="K299" s="237"/>
      <c r="M299" s="17"/>
      <c r="N299" s="17"/>
      <c r="O299" s="17"/>
      <c r="P299" s="17"/>
      <c r="Q299" s="17"/>
    </row>
    <row r="300" spans="2:17" ht="15.75" thickBot="1" x14ac:dyDescent="0.3">
      <c r="B300" s="231" t="str">
        <f>'planning '!F301</f>
        <v>off</v>
      </c>
      <c r="C300" s="232">
        <f t="shared" si="59"/>
        <v>44039</v>
      </c>
      <c r="D300" s="233">
        <f>IF(OR('planning '!$H301="",'planning '!$J301=""),0,IF('planning '!$J301&gt;'planning '!$H301,MEDIAN('planning '!$J301,D$2,D$1)-MEDIAN('planning '!$H301,D$2,D$1),+('planning '!$J301&lt;'planning '!$H301)*(D$2-D$1)+MEDIAN('planning '!$J301,D$1,D$2)-MEDIAN('planning '!$H301,D$1,D$2)))-'planning '!V301</f>
        <v>0</v>
      </c>
      <c r="E300" s="241"/>
      <c r="F300" s="235">
        <f>IF(OR('planning '!$H301="",'planning '!$J301=""),0,IF('planning '!$J301&gt;'planning '!$H301,MEDIAN('planning '!$J301,F$2,F$1)-MEDIAN('planning '!$H301,F$2,F$1),+('planning '!$J301&lt;'planning '!$H301)*(F$2-F$1)+MEDIAN('planning '!$J301,F$1,F$2)-MEDIAN('planning '!$H301,F$1,F$2)))-'planning '!AA301</f>
        <v>0</v>
      </c>
      <c r="G300" s="238"/>
      <c r="H300" s="235">
        <f>IF(OR('planning '!$H301="",'planning '!$J301=""),0,IF('planning '!$J301&gt;'planning '!$H301,MEDIAN('planning '!$J301,H$2,H$1)-MEDIAN('planning '!$H301,H$2,H$1),+('planning '!$J301&lt;'planning '!$H301)*(H$2-H$1)+MEDIAN('planning '!$J301,H$1,H$2)-MEDIAN('planning '!$H301,H$1,H$2)))</f>
        <v>0</v>
      </c>
      <c r="I300" s="238"/>
      <c r="J300" s="234">
        <f>IF(OR('planning '!$H301="",'planning '!$J301=""),0,IF('planning '!$J301&gt;'planning '!$H301,MEDIAN('planning '!$J301,J$2,J$1)-MEDIAN('planning '!$H301,J$2,J$1),+('planning '!$J301&lt;'planning '!$H301)*(J$2-J$1)+MEDIAN('planning '!$J301,J$1,J$2)-MEDIAN('planning '!$H301,J$1,J$2)))</f>
        <v>0</v>
      </c>
      <c r="K300" s="238"/>
      <c r="M300" s="17"/>
      <c r="N300" s="17"/>
      <c r="O300" s="17"/>
      <c r="P300" s="17"/>
      <c r="Q300" s="17"/>
    </row>
    <row r="301" spans="2:17" x14ac:dyDescent="0.25">
      <c r="M301" s="17"/>
      <c r="N301" s="17"/>
      <c r="O301" s="17"/>
      <c r="P301" s="17"/>
      <c r="Q301" s="17"/>
    </row>
    <row r="302" spans="2:17" x14ac:dyDescent="0.25">
      <c r="M302" s="17"/>
      <c r="N302" s="17"/>
      <c r="O302" s="17"/>
      <c r="P302" s="17"/>
      <c r="Q302" s="17"/>
    </row>
    <row r="303" spans="2:17" ht="15.75" thickBot="1" x14ac:dyDescent="0.3">
      <c r="M303" s="17"/>
      <c r="N303" s="17"/>
      <c r="O303" s="17"/>
      <c r="P303" s="17"/>
      <c r="Q303" s="17"/>
    </row>
    <row r="304" spans="2:17" x14ac:dyDescent="0.25">
      <c r="B304" s="231" t="str">
        <f>'planning '!F305</f>
        <v>récupération</v>
      </c>
      <c r="C304" s="232">
        <f>'planning '!E305</f>
        <v>44040</v>
      </c>
      <c r="D304" s="233"/>
      <c r="E304" s="239"/>
      <c r="F304" s="235">
        <f>IF(OR('planning '!$H305="",'planning '!$J305=""),0,IF('planning '!$J305&gt;'planning '!$H305,MEDIAN('planning '!$J305,F$2,F$1)-MEDIAN('planning '!$H305,F$2,F$1),+('planning '!$J305&lt;'planning '!$H305)*(F$2-F$1)+MEDIAN('planning '!$J305,F$1,F$2)-MEDIAN('planning '!$H305,F$1,F$2)))-'planning '!AA305</f>
        <v>0</v>
      </c>
      <c r="G304" s="236"/>
      <c r="H304" s="235">
        <f>IF(OR('planning '!$H305="",'planning '!$J305=""),0,IF('planning '!$J305&gt;'planning '!$H305,MEDIAN('planning '!$J305,H$2,H$1)-MEDIAN('planning '!$H305,H$2,H$1),+('planning '!$J305&lt;'planning '!$H305)*(H$2-H$1)+MEDIAN('planning '!$J305,H$1,H$2)-MEDIAN('planning '!$H305,H$1,H$2)))</f>
        <v>0</v>
      </c>
      <c r="I304" s="236"/>
      <c r="J304" s="234">
        <f>IF(OR('planning '!$H305="",'planning '!$J305=""),0,IF('planning '!$J305&gt;'planning '!$H305,MEDIAN('planning '!$J305,J$2,J$1)-MEDIAN('planning '!$H305,J$2,J$1),+('planning '!$J305&lt;'planning '!$H305)*(J$2-J$1)+MEDIAN('planning '!$J305,J$1,J$2)-MEDIAN('planning '!$H305,J$1,J$2)))</f>
        <v>0</v>
      </c>
      <c r="K304" s="236"/>
      <c r="M304" s="17"/>
      <c r="N304" s="264"/>
      <c r="O304" s="265" t="s">
        <v>114</v>
      </c>
      <c r="P304" s="266"/>
      <c r="Q304" s="17"/>
    </row>
    <row r="305" spans="2:17" x14ac:dyDescent="0.25">
      <c r="B305" s="231" t="str">
        <f>'planning '!F306</f>
        <v>récupération</v>
      </c>
      <c r="C305" s="232">
        <f>C304+1</f>
        <v>44041</v>
      </c>
      <c r="D305" s="233"/>
      <c r="E305" s="240"/>
      <c r="F305" s="235">
        <f>IF(OR('planning '!$H306="",'planning '!$J306=""),0,IF('planning '!$J306&gt;'planning '!$H306,MEDIAN('planning '!$J306,F$2,F$1)-MEDIAN('planning '!$H306,F$2,F$1),+('planning '!$J306&lt;'planning '!$H306)*(F$2-F$1)+MEDIAN('planning '!$J306,F$1,F$2)-MEDIAN('planning '!$H306,F$1,F$2)))-'planning '!AA306</f>
        <v>0</v>
      </c>
      <c r="G305" s="237"/>
      <c r="H305" s="235">
        <f>IF(OR('planning '!$H306="",'planning '!$J306=""),0,IF('planning '!$J306&gt;'planning '!$H306,MEDIAN('planning '!$J306,H$2,H$1)-MEDIAN('planning '!$H306,H$2,H$1),+('planning '!$J306&lt;'planning '!$H306)*(H$2-H$1)+MEDIAN('planning '!$J306,H$1,H$2)-MEDIAN('planning '!$H306,H$1,H$2)))</f>
        <v>0</v>
      </c>
      <c r="I305" s="237"/>
      <c r="J305" s="234">
        <f>IF(OR('planning '!$H306="",'planning '!$J306=""),0,IF('planning '!$J306&gt;'planning '!$H306,MEDIAN('planning '!$J306,J$2,J$1)-MEDIAN('planning '!$H306,J$2,J$1),+('planning '!$J306&lt;'planning '!$H306)*(J$2-J$1)+MEDIAN('planning '!$J306,J$1,J$2)-MEDIAN('planning '!$H306,J$1,J$2)))</f>
        <v>0</v>
      </c>
      <c r="K305" s="237"/>
      <c r="M305" s="17"/>
      <c r="N305" s="263" t="s">
        <v>117</v>
      </c>
      <c r="O305" s="263" t="s">
        <v>115</v>
      </c>
      <c r="P305" s="263" t="s">
        <v>116</v>
      </c>
      <c r="Q305" s="243" t="s">
        <v>118</v>
      </c>
    </row>
    <row r="306" spans="2:17" x14ac:dyDescent="0.25">
      <c r="B306" s="231" t="str">
        <f>'planning '!F307</f>
        <v>récupération</v>
      </c>
      <c r="C306" s="232">
        <f>C305+1</f>
        <v>44042</v>
      </c>
      <c r="D306" s="233"/>
      <c r="E306" s="240"/>
      <c r="F306" s="235">
        <f>IF(OR('planning '!$H307="",'planning '!$J307=""),0,IF('planning '!$J307&gt;'planning '!$H307,MEDIAN('planning '!$J307,F$2,F$1)-MEDIAN('planning '!$H307,F$2,F$1),+('planning '!$J307&lt;'planning '!$H307)*(F$2-F$1)+MEDIAN('planning '!$J307,F$1,F$2)-MEDIAN('planning '!$H307,F$1,F$2)))-'planning '!AA307</f>
        <v>0</v>
      </c>
      <c r="G306" s="237"/>
      <c r="H306" s="235">
        <f>IF(OR('planning '!$H307="",'planning '!$J307=""),0,IF('planning '!$J307&gt;'planning '!$H307,MEDIAN('planning '!$J307,H$2,H$1)-MEDIAN('planning '!$H307,H$2,H$1),+('planning '!$J307&lt;'planning '!$H307)*(H$2-H$1)+MEDIAN('planning '!$J307,H$1,H$2)-MEDIAN('planning '!$H307,H$1,H$2)))</f>
        <v>0</v>
      </c>
      <c r="I306" s="237"/>
      <c r="J306" s="234">
        <f>IF(OR('planning '!$H307="",'planning '!$J307=""),0,IF('planning '!$J307&gt;'planning '!$H307,MEDIAN('planning '!$J307,J$2,J$1)-MEDIAN('planning '!$H307,J$2,J$1),+('planning '!$J307&lt;'planning '!$H307)*(J$2-J$1)+MEDIAN('planning '!$J307,J$1,J$2)-MEDIAN('planning '!$H307,J$1,J$2)))</f>
        <v>0</v>
      </c>
      <c r="K306" s="237"/>
      <c r="M306" s="231" t="s">
        <v>111</v>
      </c>
      <c r="N306" s="261">
        <f t="shared" ref="N306:Q307" ca="1" si="60">SUMIF(OFFSET($C304:$C311,0,MATCH(N$10,$B$5:$H$5,0)-1,7,1),$K307,OFFSET($B304:$B310,0,MATCH(N$10,$B$5:$H$5,0)-1,7,1))</f>
        <v>0</v>
      </c>
      <c r="O306" s="261">
        <f t="shared" ca="1" si="60"/>
        <v>0</v>
      </c>
      <c r="P306" s="261">
        <f t="shared" ca="1" si="60"/>
        <v>0</v>
      </c>
      <c r="Q306" s="261">
        <f t="shared" ca="1" si="60"/>
        <v>0</v>
      </c>
    </row>
    <row r="307" spans="2:17" x14ac:dyDescent="0.25">
      <c r="B307" s="231" t="str">
        <f>'planning '!F308</f>
        <v>récupération</v>
      </c>
      <c r="C307" s="232">
        <f t="shared" ref="C307:C310" si="61">C306+1</f>
        <v>44043</v>
      </c>
      <c r="D307" s="233"/>
      <c r="E307" s="240"/>
      <c r="F307" s="235">
        <f>IF(OR('planning '!$H308="",'planning '!$J308=""),0,IF('planning '!$J308&gt;'planning '!$H308,MEDIAN('planning '!$J308,F$2,F$1)-MEDIAN('planning '!$H308,F$2,F$1),+('planning '!$J308&lt;'planning '!$H308)*(F$2-F$1)+MEDIAN('planning '!$J308,F$1,F$2)-MEDIAN('planning '!$H308,F$1,F$2)))-'planning '!AA308</f>
        <v>0</v>
      </c>
      <c r="G307" s="237"/>
      <c r="H307" s="235">
        <f>IF(OR('planning '!$H308="",'planning '!$J308=""),0,IF('planning '!$J308&gt;'planning '!$H308,MEDIAN('planning '!$J308,H$2,H$1)-MEDIAN('planning '!$H308,H$2,H$1),+('planning '!$J308&lt;'planning '!$H308)*(H$2-H$1)+MEDIAN('planning '!$J308,H$1,H$2)-MEDIAN('planning '!$H308,H$1,H$2)))</f>
        <v>0</v>
      </c>
      <c r="I307" s="237"/>
      <c r="J307" s="234">
        <f>IF(OR('planning '!$H308="",'planning '!$J308=""),0,IF('planning '!$J308&gt;'planning '!$H308,MEDIAN('planning '!$J308,J$2,J$1)-MEDIAN('planning '!$H308,J$2,J$1),+('planning '!$J308&lt;'planning '!$H308)*(J$2-J$1)+MEDIAN('planning '!$J308,J$1,J$2)-MEDIAN('planning '!$H308,J$1,J$2)))</f>
        <v>0</v>
      </c>
      <c r="K307" s="237"/>
      <c r="M307" s="231" t="s">
        <v>21</v>
      </c>
      <c r="N307" s="261">
        <f t="shared" ca="1" si="60"/>
        <v>0</v>
      </c>
      <c r="O307" s="261">
        <f t="shared" ca="1" si="60"/>
        <v>0</v>
      </c>
      <c r="P307" s="261">
        <f t="shared" ca="1" si="60"/>
        <v>0</v>
      </c>
      <c r="Q307" s="261">
        <f t="shared" ca="1" si="60"/>
        <v>0</v>
      </c>
    </row>
    <row r="308" spans="2:17" x14ac:dyDescent="0.25">
      <c r="B308" s="231" t="str">
        <f>'planning '!F309</f>
        <v>récupération</v>
      </c>
      <c r="C308" s="232">
        <f t="shared" si="61"/>
        <v>44044</v>
      </c>
      <c r="D308" s="233"/>
      <c r="E308" s="240"/>
      <c r="F308" s="235">
        <f>IF(OR('planning '!$H309="",'planning '!$J309=""),0,IF('planning '!$J309&gt;'planning '!$H309,MEDIAN('planning '!$J309,F$2,F$1)-MEDIAN('planning '!$H309,F$2,F$1),+('planning '!$J309&lt;'planning '!$H309)*(F$2-F$1)+MEDIAN('planning '!$J309,F$1,F$2)-MEDIAN('planning '!$H309,F$1,F$2)))-'planning '!AA309</f>
        <v>0</v>
      </c>
      <c r="G308" s="237"/>
      <c r="H308" s="235">
        <f>IF(OR('planning '!$H309="",'planning '!$J309=""),0,IF('planning '!$J309&gt;'planning '!$H309,MEDIAN('planning '!$J309,H$2,H$1)-MEDIAN('planning '!$H309,H$2,H$1),+('planning '!$J309&lt;'planning '!$H309)*(H$2-H$1)+MEDIAN('planning '!$J309,H$1,H$2)-MEDIAN('planning '!$H309,H$1,H$2)))</f>
        <v>0</v>
      </c>
      <c r="I308" s="237"/>
      <c r="J308" s="234">
        <f>IF(OR('planning '!$H309="",'planning '!$J309=""),0,IF('planning '!$J309&gt;'planning '!$H309,MEDIAN('planning '!$J309,J$2,J$1)-MEDIAN('planning '!$H309,J$2,J$1),+('planning '!$J309&lt;'planning '!$H309)*(J$2-J$1)+MEDIAN('planning '!$J309,J$1,J$2)-MEDIAN('planning '!$H309,J$1,J$2)))</f>
        <v>0</v>
      </c>
      <c r="K308" s="237"/>
      <c r="M308" s="17"/>
      <c r="N308" s="17"/>
      <c r="O308" s="17"/>
      <c r="P308" s="17"/>
      <c r="Q308" s="17"/>
    </row>
    <row r="309" spans="2:17" x14ac:dyDescent="0.25">
      <c r="B309" s="231" t="str">
        <f>'planning '!F310</f>
        <v>off</v>
      </c>
      <c r="C309" s="232">
        <f t="shared" si="61"/>
        <v>44045</v>
      </c>
      <c r="D309" s="233">
        <f>IF(OR('planning '!$H310="",'planning '!$J310=""),0,IF('planning '!$J310&gt;'planning '!$H310,MEDIAN('planning '!$J310,D$2,D$1)-MEDIAN('planning '!$H310,D$2,D$1),+('planning '!$J310&lt;'planning '!$H310)*(D$2-D$1)+MEDIAN('planning '!$J310,D$1,D$2)-MEDIAN('planning '!$H310,D$1,D$2)))-'planning '!V310</f>
        <v>0</v>
      </c>
      <c r="E309" s="240"/>
      <c r="F309" s="235">
        <f>IF(OR('planning '!$H310="",'planning '!$J310=""),0,IF('planning '!$J310&gt;'planning '!$H310,MEDIAN('planning '!$J310,F$2,F$1)-MEDIAN('planning '!$H310,F$2,F$1),+('planning '!$J310&lt;'planning '!$H310)*(F$2-F$1)+MEDIAN('planning '!$J310,F$1,F$2)-MEDIAN('planning '!$H310,F$1,F$2)))-'planning '!AA310</f>
        <v>0</v>
      </c>
      <c r="G309" s="237"/>
      <c r="H309" s="235">
        <f>IF(OR('planning '!$H310="",'planning '!$J310=""),0,IF('planning '!$J310&gt;'planning '!$H310,MEDIAN('planning '!$J310,H$2,H$1)-MEDIAN('planning '!$H310,H$2,H$1),+('planning '!$J310&lt;'planning '!$H310)*(H$2-H$1)+MEDIAN('planning '!$J310,H$1,H$2)-MEDIAN('planning '!$H310,H$1,H$2)))</f>
        <v>0</v>
      </c>
      <c r="I309" s="237"/>
      <c r="J309" s="234">
        <f>IF(OR('planning '!$H310="",'planning '!$J310=""),0,IF('planning '!$J310&gt;'planning '!$H310,MEDIAN('planning '!$J310,J$2,J$1)-MEDIAN('planning '!$H310,J$2,J$1),+('planning '!$J310&lt;'planning '!$H310)*(J$2-J$1)+MEDIAN('planning '!$J310,J$1,J$2)-MEDIAN('planning '!$H310,J$1,J$2)))</f>
        <v>0</v>
      </c>
      <c r="K309" s="237"/>
      <c r="M309" s="17"/>
      <c r="N309" s="17"/>
      <c r="O309" s="17"/>
      <c r="P309" s="17"/>
      <c r="Q309" s="17"/>
    </row>
    <row r="310" spans="2:17" ht="15.75" thickBot="1" x14ac:dyDescent="0.3">
      <c r="B310" s="231" t="str">
        <f>'planning '!F311</f>
        <v>off</v>
      </c>
      <c r="C310" s="232">
        <f t="shared" si="61"/>
        <v>44046</v>
      </c>
      <c r="D310" s="233">
        <f>IF(OR('planning '!$H311="",'planning '!$J311=""),0,IF('planning '!$J311&gt;'planning '!$H311,MEDIAN('planning '!$J311,D$2,D$1)-MEDIAN('planning '!$H311,D$2,D$1),+('planning '!$J311&lt;'planning '!$H311)*(D$2-D$1)+MEDIAN('planning '!$J311,D$1,D$2)-MEDIAN('planning '!$H311,D$1,D$2)))-'planning '!V311</f>
        <v>0</v>
      </c>
      <c r="E310" s="241"/>
      <c r="F310" s="235">
        <f>IF(OR('planning '!$H311="",'planning '!$J311=""),0,IF('planning '!$J311&gt;'planning '!$H311,MEDIAN('planning '!$J311,F$2,F$1)-MEDIAN('planning '!$H311,F$2,F$1),+('planning '!$J311&lt;'planning '!$H311)*(F$2-F$1)+MEDIAN('planning '!$J311,F$1,F$2)-MEDIAN('planning '!$H311,F$1,F$2)))-'planning '!AA311</f>
        <v>0</v>
      </c>
      <c r="G310" s="238"/>
      <c r="H310" s="235">
        <f>IF(OR('planning '!$H311="",'planning '!$J311=""),0,IF('planning '!$J311&gt;'planning '!$H311,MEDIAN('planning '!$J311,H$2,H$1)-MEDIAN('planning '!$H311,H$2,H$1),+('planning '!$J311&lt;'planning '!$H311)*(H$2-H$1)+MEDIAN('planning '!$J311,H$1,H$2)-MEDIAN('planning '!$H311,H$1,H$2)))</f>
        <v>0</v>
      </c>
      <c r="I310" s="238"/>
      <c r="J310" s="234">
        <f>IF(OR('planning '!$H311="",'planning '!$J311=""),0,IF('planning '!$J311&gt;'planning '!$H311,MEDIAN('planning '!$J311,J$2,J$1)-MEDIAN('planning '!$H311,J$2,J$1),+('planning '!$J311&lt;'planning '!$H311)*(J$2-J$1)+MEDIAN('planning '!$J311,J$1,J$2)-MEDIAN('planning '!$H311,J$1,J$2)))</f>
        <v>0</v>
      </c>
      <c r="K310" s="238"/>
      <c r="M310" s="17"/>
      <c r="N310" s="17"/>
      <c r="O310" s="17"/>
      <c r="P310" s="17"/>
      <c r="Q310" s="17"/>
    </row>
    <row r="311" spans="2:17" x14ac:dyDescent="0.25">
      <c r="M311" s="17"/>
      <c r="N311" s="17"/>
      <c r="O311" s="17"/>
      <c r="P311" s="17"/>
      <c r="Q311" s="17"/>
    </row>
    <row r="312" spans="2:17" x14ac:dyDescent="0.25">
      <c r="M312" s="17"/>
      <c r="N312" s="17"/>
      <c r="O312" s="17"/>
      <c r="P312" s="17"/>
      <c r="Q312" s="17"/>
    </row>
    <row r="313" spans="2:17" ht="15.75" thickBot="1" x14ac:dyDescent="0.3">
      <c r="M313" s="17"/>
      <c r="N313" s="17"/>
      <c r="O313" s="17"/>
      <c r="P313" s="17"/>
      <c r="Q313" s="17"/>
    </row>
    <row r="314" spans="2:17" x14ac:dyDescent="0.25">
      <c r="B314" s="231" t="str">
        <f>'planning '!F315</f>
        <v>récupération</v>
      </c>
      <c r="C314" s="232">
        <f>'planning '!E315</f>
        <v>44047</v>
      </c>
      <c r="D314" s="233"/>
      <c r="E314" s="239"/>
      <c r="F314" s="235">
        <f>IF(OR('planning '!$H315="",'planning '!$J315=""),0,IF('planning '!$J315&gt;'planning '!$H315,MEDIAN('planning '!$J315,F$2,F$1)-MEDIAN('planning '!$H315,F$2,F$1),+('planning '!$J315&lt;'planning '!$H315)*(F$2-F$1)+MEDIAN('planning '!$J315,F$1,F$2)-MEDIAN('planning '!$H315,F$1,F$2)))-'planning '!AA315</f>
        <v>0</v>
      </c>
      <c r="G314" s="236"/>
      <c r="H314" s="235">
        <f>IF(OR('planning '!$H315="",'planning '!$J315=""),0,IF('planning '!$J315&gt;'planning '!$H315,MEDIAN('planning '!$J315,H$2,H$1)-MEDIAN('planning '!$H315,H$2,H$1),+('planning '!$J315&lt;'planning '!$H315)*(H$2-H$1)+MEDIAN('planning '!$J315,H$1,H$2)-MEDIAN('planning '!$H315,H$1,H$2)))</f>
        <v>0</v>
      </c>
      <c r="I314" s="236"/>
      <c r="J314" s="234">
        <f>IF(OR('planning '!$H315="",'planning '!$J315=""),0,IF('planning '!$J315&gt;'planning '!$H315,MEDIAN('planning '!$J315,J$2,J$1)-MEDIAN('planning '!$H315,J$2,J$1),+('planning '!$J315&lt;'planning '!$H315)*(J$2-J$1)+MEDIAN('planning '!$J315,J$1,J$2)-MEDIAN('planning '!$H315,J$1,J$2)))</f>
        <v>0</v>
      </c>
      <c r="K314" s="236"/>
      <c r="M314" s="17"/>
      <c r="N314" s="264"/>
      <c r="O314" s="265" t="s">
        <v>114</v>
      </c>
      <c r="P314" s="266"/>
      <c r="Q314" s="17"/>
    </row>
    <row r="315" spans="2:17" x14ac:dyDescent="0.25">
      <c r="B315" s="231" t="str">
        <f>'planning '!F316</f>
        <v>récupération</v>
      </c>
      <c r="C315" s="232">
        <f>C314+1</f>
        <v>44048</v>
      </c>
      <c r="D315" s="233"/>
      <c r="E315" s="240"/>
      <c r="F315" s="235">
        <f>IF(OR('planning '!$H316="",'planning '!$J316=""),0,IF('planning '!$J316&gt;'planning '!$H316,MEDIAN('planning '!$J316,F$2,F$1)-MEDIAN('planning '!$H316,F$2,F$1),+('planning '!$J316&lt;'planning '!$H316)*(F$2-F$1)+MEDIAN('planning '!$J316,F$1,F$2)-MEDIAN('planning '!$H316,F$1,F$2)))-'planning '!AA316</f>
        <v>0</v>
      </c>
      <c r="G315" s="237"/>
      <c r="H315" s="235">
        <f>IF(OR('planning '!$H316="",'planning '!$J316=""),0,IF('planning '!$J316&gt;'planning '!$H316,MEDIAN('planning '!$J316,H$2,H$1)-MEDIAN('planning '!$H316,H$2,H$1),+('planning '!$J316&lt;'planning '!$H316)*(H$2-H$1)+MEDIAN('planning '!$J316,H$1,H$2)-MEDIAN('planning '!$H316,H$1,H$2)))</f>
        <v>0</v>
      </c>
      <c r="I315" s="237"/>
      <c r="J315" s="234">
        <f>IF(OR('planning '!$H316="",'planning '!$J316=""),0,IF('planning '!$J316&gt;'planning '!$H316,MEDIAN('planning '!$J316,J$2,J$1)-MEDIAN('planning '!$H316,J$2,J$1),+('planning '!$J316&lt;'planning '!$H316)*(J$2-J$1)+MEDIAN('planning '!$J316,J$1,J$2)-MEDIAN('planning '!$H316,J$1,J$2)))</f>
        <v>0</v>
      </c>
      <c r="K315" s="237"/>
      <c r="M315" s="17"/>
      <c r="N315" s="263" t="s">
        <v>117</v>
      </c>
      <c r="O315" s="263" t="s">
        <v>115</v>
      </c>
      <c r="P315" s="263" t="s">
        <v>116</v>
      </c>
      <c r="Q315" s="243" t="s">
        <v>118</v>
      </c>
    </row>
    <row r="316" spans="2:17" x14ac:dyDescent="0.25">
      <c r="B316" s="231" t="str">
        <f>'planning '!F317</f>
        <v>récupération</v>
      </c>
      <c r="C316" s="232">
        <f>C315+1</f>
        <v>44049</v>
      </c>
      <c r="D316" s="233"/>
      <c r="E316" s="240"/>
      <c r="F316" s="235">
        <f>IF(OR('planning '!$H317="",'planning '!$J317=""),0,IF('planning '!$J317&gt;'planning '!$H317,MEDIAN('planning '!$J317,F$2,F$1)-MEDIAN('planning '!$H317,F$2,F$1),+('planning '!$J317&lt;'planning '!$H317)*(F$2-F$1)+MEDIAN('planning '!$J317,F$1,F$2)-MEDIAN('planning '!$H317,F$1,F$2)))-'planning '!AA317</f>
        <v>0</v>
      </c>
      <c r="G316" s="237"/>
      <c r="H316" s="235">
        <f>IF(OR('planning '!$H317="",'planning '!$J317=""),0,IF('planning '!$J317&gt;'planning '!$H317,MEDIAN('planning '!$J317,H$2,H$1)-MEDIAN('planning '!$H317,H$2,H$1),+('planning '!$J317&lt;'planning '!$H317)*(H$2-H$1)+MEDIAN('planning '!$J317,H$1,H$2)-MEDIAN('planning '!$H317,H$1,H$2)))</f>
        <v>0</v>
      </c>
      <c r="I316" s="237"/>
      <c r="J316" s="234">
        <f>IF(OR('planning '!$H317="",'planning '!$J317=""),0,IF('planning '!$J317&gt;'planning '!$H317,MEDIAN('planning '!$J317,J$2,J$1)-MEDIAN('planning '!$H317,J$2,J$1),+('planning '!$J317&lt;'planning '!$H317)*(J$2-J$1)+MEDIAN('planning '!$J317,J$1,J$2)-MEDIAN('planning '!$H317,J$1,J$2)))</f>
        <v>0</v>
      </c>
      <c r="K316" s="237"/>
      <c r="M316" s="231" t="s">
        <v>111</v>
      </c>
      <c r="N316" s="261">
        <f t="shared" ref="N316:Q317" ca="1" si="62">SUMIF(OFFSET($C314:$C321,0,MATCH(N$10,$B$5:$H$5,0)-1,7,1),$K317,OFFSET($B314:$B320,0,MATCH(N$10,$B$5:$H$5,0)-1,7,1))</f>
        <v>0</v>
      </c>
      <c r="O316" s="261">
        <f t="shared" ca="1" si="62"/>
        <v>0</v>
      </c>
      <c r="P316" s="261">
        <f t="shared" ca="1" si="62"/>
        <v>0</v>
      </c>
      <c r="Q316" s="261">
        <f t="shared" ca="1" si="62"/>
        <v>0</v>
      </c>
    </row>
    <row r="317" spans="2:17" x14ac:dyDescent="0.25">
      <c r="B317" s="231" t="str">
        <f>'planning '!F318</f>
        <v>récupération</v>
      </c>
      <c r="C317" s="232">
        <f t="shared" ref="C317:C320" si="63">C316+1</f>
        <v>44050</v>
      </c>
      <c r="D317" s="233"/>
      <c r="E317" s="240"/>
      <c r="F317" s="235">
        <f>IF(OR('planning '!$H318="",'planning '!$J318=""),0,IF('planning '!$J318&gt;'planning '!$H318,MEDIAN('planning '!$J318,F$2,F$1)-MEDIAN('planning '!$H318,F$2,F$1),+('planning '!$J318&lt;'planning '!$H318)*(F$2-F$1)+MEDIAN('planning '!$J318,F$1,F$2)-MEDIAN('planning '!$H318,F$1,F$2)))-'planning '!AA318</f>
        <v>0</v>
      </c>
      <c r="G317" s="237"/>
      <c r="H317" s="235">
        <f>IF(OR('planning '!$H318="",'planning '!$J318=""),0,IF('planning '!$J318&gt;'planning '!$H318,MEDIAN('planning '!$J318,H$2,H$1)-MEDIAN('planning '!$H318,H$2,H$1),+('planning '!$J318&lt;'planning '!$H318)*(H$2-H$1)+MEDIAN('planning '!$J318,H$1,H$2)-MEDIAN('planning '!$H318,H$1,H$2)))</f>
        <v>0</v>
      </c>
      <c r="I317" s="237"/>
      <c r="J317" s="234">
        <f>IF(OR('planning '!$H318="",'planning '!$J318=""),0,IF('planning '!$J318&gt;'planning '!$H318,MEDIAN('planning '!$J318,J$2,J$1)-MEDIAN('planning '!$H318,J$2,J$1),+('planning '!$J318&lt;'planning '!$H318)*(J$2-J$1)+MEDIAN('planning '!$J318,J$1,J$2)-MEDIAN('planning '!$H318,J$1,J$2)))</f>
        <v>0</v>
      </c>
      <c r="K317" s="237"/>
      <c r="M317" s="231" t="s">
        <v>21</v>
      </c>
      <c r="N317" s="261">
        <f t="shared" ca="1" si="62"/>
        <v>0</v>
      </c>
      <c r="O317" s="261">
        <f t="shared" ca="1" si="62"/>
        <v>0</v>
      </c>
      <c r="P317" s="261">
        <f t="shared" ca="1" si="62"/>
        <v>0</v>
      </c>
      <c r="Q317" s="261">
        <f t="shared" ca="1" si="62"/>
        <v>0</v>
      </c>
    </row>
    <row r="318" spans="2:17" x14ac:dyDescent="0.25">
      <c r="B318" s="231" t="str">
        <f>'planning '!F319</f>
        <v>récupération</v>
      </c>
      <c r="C318" s="232">
        <f t="shared" si="63"/>
        <v>44051</v>
      </c>
      <c r="D318" s="233"/>
      <c r="E318" s="240"/>
      <c r="F318" s="235">
        <f>IF(OR('planning '!$H319="",'planning '!$J319=""),0,IF('planning '!$J319&gt;'planning '!$H319,MEDIAN('planning '!$J319,F$2,F$1)-MEDIAN('planning '!$H319,F$2,F$1),+('planning '!$J319&lt;'planning '!$H319)*(F$2-F$1)+MEDIAN('planning '!$J319,F$1,F$2)-MEDIAN('planning '!$H319,F$1,F$2)))-'planning '!AA319</f>
        <v>0</v>
      </c>
      <c r="G318" s="237"/>
      <c r="H318" s="235">
        <f>IF(OR('planning '!$H319="",'planning '!$J319=""),0,IF('planning '!$J319&gt;'planning '!$H319,MEDIAN('planning '!$J319,H$2,H$1)-MEDIAN('planning '!$H319,H$2,H$1),+('planning '!$J319&lt;'planning '!$H319)*(H$2-H$1)+MEDIAN('planning '!$J319,H$1,H$2)-MEDIAN('planning '!$H319,H$1,H$2)))</f>
        <v>0</v>
      </c>
      <c r="I318" s="237"/>
      <c r="J318" s="234">
        <f>IF(OR('planning '!$H319="",'planning '!$J319=""),0,IF('planning '!$J319&gt;'planning '!$H319,MEDIAN('planning '!$J319,J$2,J$1)-MEDIAN('planning '!$H319,J$2,J$1),+('planning '!$J319&lt;'planning '!$H319)*(J$2-J$1)+MEDIAN('planning '!$J319,J$1,J$2)-MEDIAN('planning '!$H319,J$1,J$2)))</f>
        <v>0</v>
      </c>
      <c r="K318" s="237"/>
      <c r="M318" s="17"/>
      <c r="N318" s="17"/>
      <c r="O318" s="17"/>
      <c r="P318" s="17"/>
      <c r="Q318" s="17"/>
    </row>
    <row r="319" spans="2:17" x14ac:dyDescent="0.25">
      <c r="B319" s="231" t="str">
        <f>'planning '!F320</f>
        <v>off</v>
      </c>
      <c r="C319" s="232">
        <f t="shared" si="63"/>
        <v>44052</v>
      </c>
      <c r="D319" s="233">
        <f>IF(OR('planning '!$H320="",'planning '!$J320=""),0,IF('planning '!$J320&gt;'planning '!$H320,MEDIAN('planning '!$J320,D$2,D$1)-MEDIAN('planning '!$H320,D$2,D$1),+('planning '!$J320&lt;'planning '!$H320)*(D$2-D$1)+MEDIAN('planning '!$J320,D$1,D$2)-MEDIAN('planning '!$H320,D$1,D$2)))-'planning '!V320</f>
        <v>0</v>
      </c>
      <c r="E319" s="240"/>
      <c r="F319" s="235">
        <f>IF(OR('planning '!$H320="",'planning '!$J320=""),0,IF('planning '!$J320&gt;'planning '!$H320,MEDIAN('planning '!$J320,F$2,F$1)-MEDIAN('planning '!$H320,F$2,F$1),+('planning '!$J320&lt;'planning '!$H320)*(F$2-F$1)+MEDIAN('planning '!$J320,F$1,F$2)-MEDIAN('planning '!$H320,F$1,F$2)))-'planning '!AA320</f>
        <v>0</v>
      </c>
      <c r="G319" s="237"/>
      <c r="H319" s="235">
        <f>IF(OR('planning '!$H320="",'planning '!$J320=""),0,IF('planning '!$J320&gt;'planning '!$H320,MEDIAN('planning '!$J320,H$2,H$1)-MEDIAN('planning '!$H320,H$2,H$1),+('planning '!$J320&lt;'planning '!$H320)*(H$2-H$1)+MEDIAN('planning '!$J320,H$1,H$2)-MEDIAN('planning '!$H320,H$1,H$2)))</f>
        <v>0</v>
      </c>
      <c r="I319" s="237"/>
      <c r="J319" s="234">
        <f>IF(OR('planning '!$H320="",'planning '!$J320=""),0,IF('planning '!$J320&gt;'planning '!$H320,MEDIAN('planning '!$J320,J$2,J$1)-MEDIAN('planning '!$H320,J$2,J$1),+('planning '!$J320&lt;'planning '!$H320)*(J$2-J$1)+MEDIAN('planning '!$J320,J$1,J$2)-MEDIAN('planning '!$H320,J$1,J$2)))</f>
        <v>0</v>
      </c>
      <c r="K319" s="237"/>
      <c r="M319" s="17"/>
      <c r="N319" s="17"/>
      <c r="O319" s="17"/>
      <c r="P319" s="17"/>
      <c r="Q319" s="17"/>
    </row>
    <row r="320" spans="2:17" ht="15.75" thickBot="1" x14ac:dyDescent="0.3">
      <c r="B320" s="231" t="str">
        <f>'planning '!F321</f>
        <v>off</v>
      </c>
      <c r="C320" s="232">
        <f t="shared" si="63"/>
        <v>44053</v>
      </c>
      <c r="D320" s="233">
        <f>IF(OR('planning '!$H321="",'planning '!$J321=""),0,IF('planning '!$J321&gt;'planning '!$H321,MEDIAN('planning '!$J321,D$2,D$1)-MEDIAN('planning '!$H321,D$2,D$1),+('planning '!$J321&lt;'planning '!$H321)*(D$2-D$1)+MEDIAN('planning '!$J321,D$1,D$2)-MEDIAN('planning '!$H321,D$1,D$2)))-'planning '!V321</f>
        <v>0</v>
      </c>
      <c r="E320" s="241"/>
      <c r="F320" s="235">
        <f>IF(OR('planning '!$H321="",'planning '!$J321=""),0,IF('planning '!$J321&gt;'planning '!$H321,MEDIAN('planning '!$J321,F$2,F$1)-MEDIAN('planning '!$H321,F$2,F$1),+('planning '!$J321&lt;'planning '!$H321)*(F$2-F$1)+MEDIAN('planning '!$J321,F$1,F$2)-MEDIAN('planning '!$H321,F$1,F$2)))-'planning '!AA321</f>
        <v>0</v>
      </c>
      <c r="G320" s="238"/>
      <c r="H320" s="235">
        <f>IF(OR('planning '!$H321="",'planning '!$J321=""),0,IF('planning '!$J321&gt;'planning '!$H321,MEDIAN('planning '!$J321,H$2,H$1)-MEDIAN('planning '!$H321,H$2,H$1),+('planning '!$J321&lt;'planning '!$H321)*(H$2-H$1)+MEDIAN('planning '!$J321,H$1,H$2)-MEDIAN('planning '!$H321,H$1,H$2)))</f>
        <v>0</v>
      </c>
      <c r="I320" s="238"/>
      <c r="J320" s="234">
        <f>IF(OR('planning '!$H321="",'planning '!$J321=""),0,IF('planning '!$J321&gt;'planning '!$H321,MEDIAN('planning '!$J321,J$2,J$1)-MEDIAN('planning '!$H321,J$2,J$1),+('planning '!$J321&lt;'planning '!$H321)*(J$2-J$1)+MEDIAN('planning '!$J321,J$1,J$2)-MEDIAN('planning '!$H321,J$1,J$2)))</f>
        <v>0</v>
      </c>
      <c r="K320" s="238"/>
      <c r="M320" s="17"/>
      <c r="N320" s="17"/>
      <c r="O320" s="17"/>
      <c r="P320" s="17"/>
      <c r="Q320" s="17"/>
    </row>
    <row r="321" spans="2:17" x14ac:dyDescent="0.25">
      <c r="M321" s="17"/>
      <c r="N321" s="17"/>
      <c r="O321" s="17"/>
      <c r="P321" s="17"/>
      <c r="Q321" s="17"/>
    </row>
    <row r="322" spans="2:17" x14ac:dyDescent="0.25">
      <c r="M322" s="17"/>
      <c r="N322" s="17"/>
      <c r="O322" s="17"/>
      <c r="P322" s="17"/>
      <c r="Q322" s="17"/>
    </row>
    <row r="323" spans="2:17" ht="15.75" thickBot="1" x14ac:dyDescent="0.3">
      <c r="M323" s="17"/>
      <c r="N323" s="17"/>
      <c r="O323" s="17"/>
      <c r="P323" s="17"/>
      <c r="Q323" s="17"/>
    </row>
    <row r="324" spans="2:17" x14ac:dyDescent="0.25">
      <c r="B324" s="231" t="str">
        <f>'planning '!F325</f>
        <v>rtt</v>
      </c>
      <c r="C324" s="232">
        <f>'planning '!E325</f>
        <v>44054</v>
      </c>
      <c r="D324" s="233"/>
      <c r="E324" s="239"/>
      <c r="F324" s="235">
        <f>IF(OR('planning '!$H325="",'planning '!$J325=""),0,IF('planning '!$J325&gt;'planning '!$H325,MEDIAN('planning '!$J325,F$2,F$1)-MEDIAN('planning '!$H325,F$2,F$1),+('planning '!$J325&lt;'planning '!$H325)*(F$2-F$1)+MEDIAN('planning '!$J325,F$1,F$2)-MEDIAN('planning '!$H325,F$1,F$2)))-'planning '!AA325</f>
        <v>0</v>
      </c>
      <c r="G324" s="236"/>
      <c r="H324" s="235">
        <f>IF(OR('planning '!$H325="",'planning '!$J325=""),0,IF('planning '!$J325&gt;'planning '!$H325,MEDIAN('planning '!$J325,H$2,H$1)-MEDIAN('planning '!$H325,H$2,H$1),+('planning '!$J325&lt;'planning '!$H325)*(H$2-H$1)+MEDIAN('planning '!$J325,H$1,H$2)-MEDIAN('planning '!$H325,H$1,H$2)))</f>
        <v>0</v>
      </c>
      <c r="I324" s="236"/>
      <c r="J324" s="234">
        <f>IF(OR('planning '!$H325="",'planning '!$J325=""),0,IF('planning '!$J325&gt;'planning '!$H325,MEDIAN('planning '!$J325,J$2,J$1)-MEDIAN('planning '!$H325,J$2,J$1),+('planning '!$J325&lt;'planning '!$H325)*(J$2-J$1)+MEDIAN('planning '!$J325,J$1,J$2)-MEDIAN('planning '!$H325,J$1,J$2)))</f>
        <v>0</v>
      </c>
      <c r="K324" s="236"/>
      <c r="M324" s="17"/>
      <c r="N324" s="264"/>
      <c r="O324" s="265" t="s">
        <v>114</v>
      </c>
      <c r="P324" s="266"/>
      <c r="Q324" s="17"/>
    </row>
    <row r="325" spans="2:17" x14ac:dyDescent="0.25">
      <c r="B325" s="231" t="str">
        <f>'planning '!F326</f>
        <v>rtt</v>
      </c>
      <c r="C325" s="232">
        <f>C324+1</f>
        <v>44055</v>
      </c>
      <c r="D325" s="233"/>
      <c r="E325" s="240"/>
      <c r="F325" s="235">
        <f>IF(OR('planning '!$H326="",'planning '!$J326=""),0,IF('planning '!$J326&gt;'planning '!$H326,MEDIAN('planning '!$J326,F$2,F$1)-MEDIAN('planning '!$H326,F$2,F$1),+('planning '!$J326&lt;'planning '!$H326)*(F$2-F$1)+MEDIAN('planning '!$J326,F$1,F$2)-MEDIAN('planning '!$H326,F$1,F$2)))-'planning '!AA326</f>
        <v>0</v>
      </c>
      <c r="G325" s="237"/>
      <c r="H325" s="235">
        <f>IF(OR('planning '!$H326="",'planning '!$J326=""),0,IF('planning '!$J326&gt;'planning '!$H326,MEDIAN('planning '!$J326,H$2,H$1)-MEDIAN('planning '!$H326,H$2,H$1),+('planning '!$J326&lt;'planning '!$H326)*(H$2-H$1)+MEDIAN('planning '!$J326,H$1,H$2)-MEDIAN('planning '!$H326,H$1,H$2)))</f>
        <v>0</v>
      </c>
      <c r="I325" s="237"/>
      <c r="J325" s="234">
        <f>IF(OR('planning '!$H326="",'planning '!$J326=""),0,IF('planning '!$J326&gt;'planning '!$H326,MEDIAN('planning '!$J326,J$2,J$1)-MEDIAN('planning '!$H326,J$2,J$1),+('planning '!$J326&lt;'planning '!$H326)*(J$2-J$1)+MEDIAN('planning '!$J326,J$1,J$2)-MEDIAN('planning '!$H326,J$1,J$2)))</f>
        <v>0</v>
      </c>
      <c r="K325" s="237"/>
      <c r="M325" s="17"/>
      <c r="N325" s="263" t="s">
        <v>117</v>
      </c>
      <c r="O325" s="263" t="s">
        <v>115</v>
      </c>
      <c r="P325" s="263" t="s">
        <v>116</v>
      </c>
      <c r="Q325" s="243" t="s">
        <v>118</v>
      </c>
    </row>
    <row r="326" spans="2:17" x14ac:dyDescent="0.25">
      <c r="B326" s="231" t="str">
        <f>'planning '!F327</f>
        <v>rtt</v>
      </c>
      <c r="C326" s="232">
        <f>C325+1</f>
        <v>44056</v>
      </c>
      <c r="D326" s="233"/>
      <c r="E326" s="240"/>
      <c r="F326" s="235">
        <f>IF(OR('planning '!$H327="",'planning '!$J327=""),0,IF('planning '!$J327&gt;'planning '!$H327,MEDIAN('planning '!$J327,F$2,F$1)-MEDIAN('planning '!$H327,F$2,F$1),+('planning '!$J327&lt;'planning '!$H327)*(F$2-F$1)+MEDIAN('planning '!$J327,F$1,F$2)-MEDIAN('planning '!$H327,F$1,F$2)))-'planning '!AA327</f>
        <v>0</v>
      </c>
      <c r="G326" s="237"/>
      <c r="H326" s="235">
        <f>IF(OR('planning '!$H327="",'planning '!$J327=""),0,IF('planning '!$J327&gt;'planning '!$H327,MEDIAN('planning '!$J327,H$2,H$1)-MEDIAN('planning '!$H327,H$2,H$1),+('planning '!$J327&lt;'planning '!$H327)*(H$2-H$1)+MEDIAN('planning '!$J327,H$1,H$2)-MEDIAN('planning '!$H327,H$1,H$2)))</f>
        <v>0</v>
      </c>
      <c r="I326" s="237"/>
      <c r="J326" s="234">
        <f>IF(OR('planning '!$H327="",'planning '!$J327=""),0,IF('planning '!$J327&gt;'planning '!$H327,MEDIAN('planning '!$J327,J$2,J$1)-MEDIAN('planning '!$H327,J$2,J$1),+('planning '!$J327&lt;'planning '!$H327)*(J$2-J$1)+MEDIAN('planning '!$J327,J$1,J$2)-MEDIAN('planning '!$H327,J$1,J$2)))</f>
        <v>0</v>
      </c>
      <c r="K326" s="237"/>
      <c r="M326" s="231" t="s">
        <v>111</v>
      </c>
      <c r="N326" s="261">
        <f t="shared" ref="N326:Q327" ca="1" si="64">SUMIF(OFFSET($C324:$C331,0,MATCH(N$10,$B$5:$H$5,0)-1,7,1),$K327,OFFSET($B324:$B330,0,MATCH(N$10,$B$5:$H$5,0)-1,7,1))</f>
        <v>0</v>
      </c>
      <c r="O326" s="261">
        <f t="shared" ca="1" si="64"/>
        <v>0</v>
      </c>
      <c r="P326" s="261">
        <f t="shared" ca="1" si="64"/>
        <v>0</v>
      </c>
      <c r="Q326" s="261">
        <f t="shared" ca="1" si="64"/>
        <v>0</v>
      </c>
    </row>
    <row r="327" spans="2:17" x14ac:dyDescent="0.25">
      <c r="B327" s="231" t="str">
        <f>'planning '!F328</f>
        <v xml:space="preserve">férié </v>
      </c>
      <c r="C327" s="232">
        <f t="shared" ref="C327:C330" si="65">C326+1</f>
        <v>44057</v>
      </c>
      <c r="D327" s="233"/>
      <c r="E327" s="240"/>
      <c r="F327" s="235">
        <f>IF(OR('planning '!$H328="",'planning '!$J328=""),0,IF('planning '!$J328&gt;'planning '!$H328,MEDIAN('planning '!$J328,F$2,F$1)-MEDIAN('planning '!$H328,F$2,F$1),+('planning '!$J328&lt;'planning '!$H328)*(F$2-F$1)+MEDIAN('planning '!$J328,F$1,F$2)-MEDIAN('planning '!$H328,F$1,F$2)))-'planning '!AA328</f>
        <v>0</v>
      </c>
      <c r="G327" s="237"/>
      <c r="H327" s="235">
        <f>IF(OR('planning '!$H328="",'planning '!$J328=""),0,IF('planning '!$J328&gt;'planning '!$H328,MEDIAN('planning '!$J328,H$2,H$1)-MEDIAN('planning '!$H328,H$2,H$1),+('planning '!$J328&lt;'planning '!$H328)*(H$2-H$1)+MEDIAN('planning '!$J328,H$1,H$2)-MEDIAN('planning '!$H328,H$1,H$2)))</f>
        <v>0</v>
      </c>
      <c r="I327" s="237"/>
      <c r="J327" s="234">
        <f>IF(OR('planning '!$H328="",'planning '!$J328=""),0,IF('planning '!$J328&gt;'planning '!$H328,MEDIAN('planning '!$J328,J$2,J$1)-MEDIAN('planning '!$H328,J$2,J$1),+('planning '!$J328&lt;'planning '!$H328)*(J$2-J$1)+MEDIAN('planning '!$J328,J$1,J$2)-MEDIAN('planning '!$H328,J$1,J$2)))</f>
        <v>0</v>
      </c>
      <c r="K327" s="237"/>
      <c r="M327" s="231" t="s">
        <v>21</v>
      </c>
      <c r="N327" s="261">
        <f t="shared" ca="1" si="64"/>
        <v>0</v>
      </c>
      <c r="O327" s="261">
        <f t="shared" ca="1" si="64"/>
        <v>0</v>
      </c>
      <c r="P327" s="261">
        <f t="shared" ca="1" si="64"/>
        <v>0</v>
      </c>
      <c r="Q327" s="261">
        <f t="shared" ca="1" si="64"/>
        <v>0</v>
      </c>
    </row>
    <row r="328" spans="2:17" x14ac:dyDescent="0.25">
      <c r="B328" s="231" t="str">
        <f>'planning '!F329</f>
        <v>rtt</v>
      </c>
      <c r="C328" s="232">
        <f t="shared" si="65"/>
        <v>44058</v>
      </c>
      <c r="D328" s="233"/>
      <c r="E328" s="240"/>
      <c r="F328" s="235">
        <f>IF(OR('planning '!$H329="",'planning '!$J329=""),0,IF('planning '!$J329&gt;'planning '!$H329,MEDIAN('planning '!$J329,F$2,F$1)-MEDIAN('planning '!$H329,F$2,F$1),+('planning '!$J329&lt;'planning '!$H329)*(F$2-F$1)+MEDIAN('planning '!$J329,F$1,F$2)-MEDIAN('planning '!$H329,F$1,F$2)))-'planning '!AA329</f>
        <v>0</v>
      </c>
      <c r="G328" s="237"/>
      <c r="H328" s="235">
        <f>IF(OR('planning '!$H329="",'planning '!$J329=""),0,IF('planning '!$J329&gt;'planning '!$H329,MEDIAN('planning '!$J329,H$2,H$1)-MEDIAN('planning '!$H329,H$2,H$1),+('planning '!$J329&lt;'planning '!$H329)*(H$2-H$1)+MEDIAN('planning '!$J329,H$1,H$2)-MEDIAN('planning '!$H329,H$1,H$2)))</f>
        <v>0</v>
      </c>
      <c r="I328" s="237"/>
      <c r="J328" s="234">
        <f>IF(OR('planning '!$H329="",'planning '!$J329=""),0,IF('planning '!$J329&gt;'planning '!$H329,MEDIAN('planning '!$J329,J$2,J$1)-MEDIAN('planning '!$H329,J$2,J$1),+('planning '!$J329&lt;'planning '!$H329)*(J$2-J$1)+MEDIAN('planning '!$J329,J$1,J$2)-MEDIAN('planning '!$H329,J$1,J$2)))</f>
        <v>0</v>
      </c>
      <c r="K328" s="237"/>
      <c r="M328" s="17"/>
      <c r="N328" s="17"/>
      <c r="O328" s="17"/>
      <c r="P328" s="17"/>
      <c r="Q328" s="17"/>
    </row>
    <row r="329" spans="2:17" x14ac:dyDescent="0.25">
      <c r="B329" s="231" t="str">
        <f>'planning '!F330</f>
        <v>off</v>
      </c>
      <c r="C329" s="232">
        <f t="shared" si="65"/>
        <v>44059</v>
      </c>
      <c r="D329" s="233">
        <f>IF(OR('planning '!$H330="",'planning '!$J330=""),0,IF('planning '!$J330&gt;'planning '!$H330,MEDIAN('planning '!$J330,D$2,D$1)-MEDIAN('planning '!$H330,D$2,D$1),+('planning '!$J330&lt;'planning '!$H330)*(D$2-D$1)+MEDIAN('planning '!$J330,D$1,D$2)-MEDIAN('planning '!$H330,D$1,D$2)))-'planning '!V330</f>
        <v>0</v>
      </c>
      <c r="E329" s="240"/>
      <c r="F329" s="235">
        <f>IF(OR('planning '!$H330="",'planning '!$J330=""),0,IF('planning '!$J330&gt;'planning '!$H330,MEDIAN('planning '!$J330,F$2,F$1)-MEDIAN('planning '!$H330,F$2,F$1),+('planning '!$J330&lt;'planning '!$H330)*(F$2-F$1)+MEDIAN('planning '!$J330,F$1,F$2)-MEDIAN('planning '!$H330,F$1,F$2)))-'planning '!AA330</f>
        <v>0</v>
      </c>
      <c r="G329" s="237"/>
      <c r="H329" s="235">
        <f>IF(OR('planning '!$H330="",'planning '!$J330=""),0,IF('planning '!$J330&gt;'planning '!$H330,MEDIAN('planning '!$J330,H$2,H$1)-MEDIAN('planning '!$H330,H$2,H$1),+('planning '!$J330&lt;'planning '!$H330)*(H$2-H$1)+MEDIAN('planning '!$J330,H$1,H$2)-MEDIAN('planning '!$H330,H$1,H$2)))</f>
        <v>0</v>
      </c>
      <c r="I329" s="237"/>
      <c r="J329" s="234">
        <f>IF(OR('planning '!$H330="",'planning '!$J330=""),0,IF('planning '!$J330&gt;'planning '!$H330,MEDIAN('planning '!$J330,J$2,J$1)-MEDIAN('planning '!$H330,J$2,J$1),+('planning '!$J330&lt;'planning '!$H330)*(J$2-J$1)+MEDIAN('planning '!$J330,J$1,J$2)-MEDIAN('planning '!$H330,J$1,J$2)))</f>
        <v>0</v>
      </c>
      <c r="K329" s="237"/>
      <c r="M329" s="17"/>
      <c r="N329" s="17"/>
      <c r="O329" s="17"/>
      <c r="P329" s="17"/>
      <c r="Q329" s="17"/>
    </row>
    <row r="330" spans="2:17" ht="15.75" thickBot="1" x14ac:dyDescent="0.3">
      <c r="B330" s="231" t="str">
        <f>'planning '!F331</f>
        <v>off</v>
      </c>
      <c r="C330" s="232">
        <f t="shared" si="65"/>
        <v>44060</v>
      </c>
      <c r="D330" s="233">
        <f>IF(OR('planning '!$H331="",'planning '!$J331=""),0,IF('planning '!$J331&gt;'planning '!$H331,MEDIAN('planning '!$J331,D$2,D$1)-MEDIAN('planning '!$H331,D$2,D$1),+('planning '!$J331&lt;'planning '!$H331)*(D$2-D$1)+MEDIAN('planning '!$J331,D$1,D$2)-MEDIAN('planning '!$H331,D$1,D$2)))-'planning '!V331</f>
        <v>0</v>
      </c>
      <c r="E330" s="241"/>
      <c r="F330" s="235">
        <f>IF(OR('planning '!$H331="",'planning '!$J331=""),0,IF('planning '!$J331&gt;'planning '!$H331,MEDIAN('planning '!$J331,F$2,F$1)-MEDIAN('planning '!$H331,F$2,F$1),+('planning '!$J331&lt;'planning '!$H331)*(F$2-F$1)+MEDIAN('planning '!$J331,F$1,F$2)-MEDIAN('planning '!$H331,F$1,F$2)))-'planning '!AA331</f>
        <v>0</v>
      </c>
      <c r="G330" s="238"/>
      <c r="H330" s="235">
        <f>IF(OR('planning '!$H331="",'planning '!$J331=""),0,IF('planning '!$J331&gt;'planning '!$H331,MEDIAN('planning '!$J331,H$2,H$1)-MEDIAN('planning '!$H331,H$2,H$1),+('planning '!$J331&lt;'planning '!$H331)*(H$2-H$1)+MEDIAN('planning '!$J331,H$1,H$2)-MEDIAN('planning '!$H331,H$1,H$2)))</f>
        <v>0</v>
      </c>
      <c r="I330" s="238"/>
      <c r="J330" s="234">
        <f>IF(OR('planning '!$H331="",'planning '!$J331=""),0,IF('planning '!$J331&gt;'planning '!$H331,MEDIAN('planning '!$J331,J$2,J$1)-MEDIAN('planning '!$H331,J$2,J$1),+('planning '!$J331&lt;'planning '!$H331)*(J$2-J$1)+MEDIAN('planning '!$J331,J$1,J$2)-MEDIAN('planning '!$H331,J$1,J$2)))</f>
        <v>0</v>
      </c>
      <c r="K330" s="238"/>
      <c r="M330" s="17"/>
      <c r="N330" s="17"/>
      <c r="O330" s="17"/>
      <c r="P330" s="17"/>
      <c r="Q330" s="17"/>
    </row>
    <row r="331" spans="2:17" x14ac:dyDescent="0.25">
      <c r="M331" s="17"/>
      <c r="N331" s="17"/>
      <c r="O331" s="17"/>
      <c r="P331" s="17"/>
      <c r="Q331" s="17"/>
    </row>
    <row r="332" spans="2:17" x14ac:dyDescent="0.25">
      <c r="M332" s="17"/>
      <c r="N332" s="17"/>
      <c r="O332" s="17"/>
      <c r="P332" s="17"/>
      <c r="Q332" s="17"/>
    </row>
    <row r="333" spans="2:17" ht="15.75" thickBot="1" x14ac:dyDescent="0.3">
      <c r="M333" s="17"/>
      <c r="N333" s="17"/>
      <c r="O333" s="17"/>
      <c r="P333" s="17"/>
      <c r="Q333" s="17"/>
    </row>
    <row r="334" spans="2:17" x14ac:dyDescent="0.25">
      <c r="B334" s="231" t="str">
        <f>'planning '!F335</f>
        <v>récupération</v>
      </c>
      <c r="C334" s="232">
        <f>'planning '!E335</f>
        <v>44061</v>
      </c>
      <c r="D334" s="233"/>
      <c r="E334" s="239"/>
      <c r="F334" s="235">
        <f>IF(OR('planning '!$H335="",'planning '!$J335=""),0,IF('planning '!$J335&gt;'planning '!$H335,MEDIAN('planning '!$J335,F$2,F$1)-MEDIAN('planning '!$H335,F$2,F$1),+('planning '!$J335&lt;'planning '!$H335)*(F$2-F$1)+MEDIAN('planning '!$J335,F$1,F$2)-MEDIAN('planning '!$H335,F$1,F$2)))-'planning '!AA335</f>
        <v>0</v>
      </c>
      <c r="G334" s="236"/>
      <c r="H334" s="235">
        <f>IF(OR('planning '!$H335="",'planning '!$J335=""),0,IF('planning '!$J335&gt;'planning '!$H335,MEDIAN('planning '!$J335,H$2,H$1)-MEDIAN('planning '!$H335,H$2,H$1),+('planning '!$J335&lt;'planning '!$H335)*(H$2-H$1)+MEDIAN('planning '!$J335,H$1,H$2)-MEDIAN('planning '!$H335,H$1,H$2)))</f>
        <v>0</v>
      </c>
      <c r="I334" s="236"/>
      <c r="J334" s="234">
        <f>IF(OR('planning '!$H335="",'planning '!$J335=""),0,IF('planning '!$J335&gt;'planning '!$H335,MEDIAN('planning '!$J335,J$2,J$1)-MEDIAN('planning '!$H335,J$2,J$1),+('planning '!$J335&lt;'planning '!$H335)*(J$2-J$1)+MEDIAN('planning '!$J335,J$1,J$2)-MEDIAN('planning '!$H335,J$1,J$2)))</f>
        <v>0</v>
      </c>
      <c r="K334" s="236"/>
      <c r="M334" s="17"/>
      <c r="N334" s="264"/>
      <c r="O334" s="265" t="s">
        <v>114</v>
      </c>
      <c r="P334" s="266"/>
      <c r="Q334" s="17"/>
    </row>
    <row r="335" spans="2:17" x14ac:dyDescent="0.25">
      <c r="B335" s="231" t="str">
        <f>'planning '!F336</f>
        <v>récupération</v>
      </c>
      <c r="C335" s="232">
        <f>C334+1</f>
        <v>44062</v>
      </c>
      <c r="D335" s="233"/>
      <c r="E335" s="240"/>
      <c r="F335" s="235">
        <f>IF(OR('planning '!$H336="",'planning '!$J336=""),0,IF('planning '!$J336&gt;'planning '!$H336,MEDIAN('planning '!$J336,F$2,F$1)-MEDIAN('planning '!$H336,F$2,F$1),+('planning '!$J336&lt;'planning '!$H336)*(F$2-F$1)+MEDIAN('planning '!$J336,F$1,F$2)-MEDIAN('planning '!$H336,F$1,F$2)))-'planning '!AA336</f>
        <v>0</v>
      </c>
      <c r="G335" s="237"/>
      <c r="H335" s="235">
        <f>IF(OR('planning '!$H336="",'planning '!$J336=""),0,IF('planning '!$J336&gt;'planning '!$H336,MEDIAN('planning '!$J336,H$2,H$1)-MEDIAN('planning '!$H336,H$2,H$1),+('planning '!$J336&lt;'planning '!$H336)*(H$2-H$1)+MEDIAN('planning '!$J336,H$1,H$2)-MEDIAN('planning '!$H336,H$1,H$2)))</f>
        <v>0</v>
      </c>
      <c r="I335" s="237"/>
      <c r="J335" s="234">
        <f>IF(OR('planning '!$H336="",'planning '!$J336=""),0,IF('planning '!$J336&gt;'planning '!$H336,MEDIAN('planning '!$J336,J$2,J$1)-MEDIAN('planning '!$H336,J$2,J$1),+('planning '!$J336&lt;'planning '!$H336)*(J$2-J$1)+MEDIAN('planning '!$J336,J$1,J$2)-MEDIAN('planning '!$H336,J$1,J$2)))</f>
        <v>0</v>
      </c>
      <c r="K335" s="237"/>
      <c r="M335" s="17"/>
      <c r="N335" s="263" t="s">
        <v>117</v>
      </c>
      <c r="O335" s="263" t="s">
        <v>115</v>
      </c>
      <c r="P335" s="263" t="s">
        <v>116</v>
      </c>
      <c r="Q335" s="243" t="s">
        <v>118</v>
      </c>
    </row>
    <row r="336" spans="2:17" x14ac:dyDescent="0.25">
      <c r="B336" s="231" t="str">
        <f>'planning '!F337</f>
        <v>récupération</v>
      </c>
      <c r="C336" s="232">
        <f>C335+1</f>
        <v>44063</v>
      </c>
      <c r="D336" s="233"/>
      <c r="E336" s="240"/>
      <c r="F336" s="235">
        <f>IF(OR('planning '!$H337="",'planning '!$J337=""),0,IF('planning '!$J337&gt;'planning '!$H337,MEDIAN('planning '!$J337,F$2,F$1)-MEDIAN('planning '!$H337,F$2,F$1),+('planning '!$J337&lt;'planning '!$H337)*(F$2-F$1)+MEDIAN('planning '!$J337,F$1,F$2)-MEDIAN('planning '!$H337,F$1,F$2)))-'planning '!AA337</f>
        <v>0</v>
      </c>
      <c r="G336" s="237"/>
      <c r="H336" s="235">
        <f>IF(OR('planning '!$H337="",'planning '!$J337=""),0,IF('planning '!$J337&gt;'planning '!$H337,MEDIAN('planning '!$J337,H$2,H$1)-MEDIAN('planning '!$H337,H$2,H$1),+('planning '!$J337&lt;'planning '!$H337)*(H$2-H$1)+MEDIAN('planning '!$J337,H$1,H$2)-MEDIAN('planning '!$H337,H$1,H$2)))</f>
        <v>0</v>
      </c>
      <c r="I336" s="237"/>
      <c r="J336" s="234">
        <f>IF(OR('planning '!$H337="",'planning '!$J337=""),0,IF('planning '!$J337&gt;'planning '!$H337,MEDIAN('planning '!$J337,J$2,J$1)-MEDIAN('planning '!$H337,J$2,J$1),+('planning '!$J337&lt;'planning '!$H337)*(J$2-J$1)+MEDIAN('planning '!$J337,J$1,J$2)-MEDIAN('planning '!$H337,J$1,J$2)))</f>
        <v>0</v>
      </c>
      <c r="K336" s="237"/>
      <c r="M336" s="231" t="s">
        <v>111</v>
      </c>
      <c r="N336" s="261">
        <f t="shared" ref="N336:Q337" ca="1" si="66">SUMIF(OFFSET($C334:$C341,0,MATCH(N$10,$B$5:$H$5,0)-1,7,1),$K337,OFFSET($B334:$B340,0,MATCH(N$10,$B$5:$H$5,0)-1,7,1))</f>
        <v>0</v>
      </c>
      <c r="O336" s="261">
        <f t="shared" ca="1" si="66"/>
        <v>0</v>
      </c>
      <c r="P336" s="261">
        <f t="shared" ca="1" si="66"/>
        <v>0</v>
      </c>
      <c r="Q336" s="261">
        <f t="shared" ca="1" si="66"/>
        <v>0</v>
      </c>
    </row>
    <row r="337" spans="2:17" x14ac:dyDescent="0.25">
      <c r="B337" s="231" t="str">
        <f>'planning '!F338</f>
        <v>travail</v>
      </c>
      <c r="C337" s="232">
        <f t="shared" ref="C337:C340" si="67">C336+1</f>
        <v>44064</v>
      </c>
      <c r="D337" s="233"/>
      <c r="E337" s="240"/>
      <c r="F337" s="235">
        <f>IF(OR('planning '!$H338="",'planning '!$J338=""),0,IF('planning '!$J338&gt;'planning '!$H338,MEDIAN('planning '!$J338,F$2,F$1)-MEDIAN('planning '!$H338,F$2,F$1),+('planning '!$J338&lt;'planning '!$H338)*(F$2-F$1)+MEDIAN('planning '!$J338,F$1,F$2)-MEDIAN('planning '!$H338,F$1,F$2)))-'planning '!AA338</f>
        <v>0</v>
      </c>
      <c r="G337" s="237"/>
      <c r="H337" s="235">
        <f>IF(OR('planning '!$H338="",'planning '!$J338=""),0,IF('planning '!$J338&gt;'planning '!$H338,MEDIAN('planning '!$J338,H$2,H$1)-MEDIAN('planning '!$H338,H$2,H$1),+('planning '!$J338&lt;'planning '!$H338)*(H$2-H$1)+MEDIAN('planning '!$J338,H$1,H$2)-MEDIAN('planning '!$H338,H$1,H$2)))</f>
        <v>0</v>
      </c>
      <c r="I337" s="237"/>
      <c r="J337" s="234">
        <f>IF(OR('planning '!$H338="",'planning '!$J338=""),0,IF('planning '!$J338&gt;'planning '!$H338,MEDIAN('planning '!$J338,J$2,J$1)-MEDIAN('planning '!$H338,J$2,J$1),+('planning '!$J338&lt;'planning '!$H338)*(J$2-J$1)+MEDIAN('planning '!$J338,J$1,J$2)-MEDIAN('planning '!$H338,J$1,J$2)))</f>
        <v>0</v>
      </c>
      <c r="K337" s="237"/>
      <c r="M337" s="231" t="s">
        <v>21</v>
      </c>
      <c r="N337" s="261">
        <f t="shared" ca="1" si="66"/>
        <v>0</v>
      </c>
      <c r="O337" s="261">
        <f t="shared" ca="1" si="66"/>
        <v>0</v>
      </c>
      <c r="P337" s="261">
        <f t="shared" ca="1" si="66"/>
        <v>0</v>
      </c>
      <c r="Q337" s="261">
        <f t="shared" ca="1" si="66"/>
        <v>0</v>
      </c>
    </row>
    <row r="338" spans="2:17" x14ac:dyDescent="0.25">
      <c r="B338" s="231" t="str">
        <f>'planning '!F339</f>
        <v>travail</v>
      </c>
      <c r="C338" s="232">
        <f t="shared" si="67"/>
        <v>44065</v>
      </c>
      <c r="D338" s="233"/>
      <c r="E338" s="240"/>
      <c r="F338" s="235">
        <f>IF(OR('planning '!$H339="",'planning '!$J339=""),0,IF('planning '!$J339&gt;'planning '!$H339,MEDIAN('planning '!$J339,F$2,F$1)-MEDIAN('planning '!$H339,F$2,F$1),+('planning '!$J339&lt;'planning '!$H339)*(F$2-F$1)+MEDIAN('planning '!$J339,F$1,F$2)-MEDIAN('planning '!$H339,F$1,F$2)))-'planning '!AA339</f>
        <v>0</v>
      </c>
      <c r="G338" s="237"/>
      <c r="H338" s="235">
        <f>IF(OR('planning '!$H339="",'planning '!$J339=""),0,IF('planning '!$J339&gt;'planning '!$H339,MEDIAN('planning '!$J339,H$2,H$1)-MEDIAN('planning '!$H339,H$2,H$1),+('planning '!$J339&lt;'planning '!$H339)*(H$2-H$1)+MEDIAN('planning '!$J339,H$1,H$2)-MEDIAN('planning '!$H339,H$1,H$2)))</f>
        <v>0</v>
      </c>
      <c r="I338" s="237"/>
      <c r="J338" s="234">
        <f>IF(OR('planning '!$H339="",'planning '!$J339=""),0,IF('planning '!$J339&gt;'planning '!$H339,MEDIAN('planning '!$J339,J$2,J$1)-MEDIAN('planning '!$H339,J$2,J$1),+('planning '!$J339&lt;'planning '!$H339)*(J$2-J$1)+MEDIAN('planning '!$J339,J$1,J$2)-MEDIAN('planning '!$H339,J$1,J$2)))</f>
        <v>0</v>
      </c>
      <c r="K338" s="237"/>
      <c r="M338" s="17"/>
      <c r="N338" s="17"/>
      <c r="O338" s="17"/>
      <c r="P338" s="17"/>
      <c r="Q338" s="17"/>
    </row>
    <row r="339" spans="2:17" x14ac:dyDescent="0.25">
      <c r="B339" s="231" t="str">
        <f>'planning '!F340</f>
        <v>off</v>
      </c>
      <c r="C339" s="232">
        <f t="shared" si="67"/>
        <v>44066</v>
      </c>
      <c r="D339" s="233">
        <f>IF(OR('planning '!$H340="",'planning '!$J340=""),0,IF('planning '!$J340&gt;'planning '!$H340,MEDIAN('planning '!$J340,D$2,D$1)-MEDIAN('planning '!$H340,D$2,D$1),+('planning '!$J340&lt;'planning '!$H340)*(D$2-D$1)+MEDIAN('planning '!$J340,D$1,D$2)-MEDIAN('planning '!$H340,D$1,D$2)))-'planning '!V340</f>
        <v>0</v>
      </c>
      <c r="E339" s="240"/>
      <c r="F339" s="235">
        <f>IF(OR('planning '!$H340="",'planning '!$J340=""),0,IF('planning '!$J340&gt;'planning '!$H340,MEDIAN('planning '!$J340,F$2,F$1)-MEDIAN('planning '!$H340,F$2,F$1),+('planning '!$J340&lt;'planning '!$H340)*(F$2-F$1)+MEDIAN('planning '!$J340,F$1,F$2)-MEDIAN('planning '!$H340,F$1,F$2)))-'planning '!AA340</f>
        <v>0</v>
      </c>
      <c r="G339" s="237"/>
      <c r="H339" s="235">
        <f>IF(OR('planning '!$H340="",'planning '!$J340=""),0,IF('planning '!$J340&gt;'planning '!$H340,MEDIAN('planning '!$J340,H$2,H$1)-MEDIAN('planning '!$H340,H$2,H$1),+('planning '!$J340&lt;'planning '!$H340)*(H$2-H$1)+MEDIAN('planning '!$J340,H$1,H$2)-MEDIAN('planning '!$H340,H$1,H$2)))</f>
        <v>0</v>
      </c>
      <c r="I339" s="237"/>
      <c r="J339" s="234">
        <f>IF(OR('planning '!$H340="",'planning '!$J340=""),0,IF('planning '!$J340&gt;'planning '!$H340,MEDIAN('planning '!$J340,J$2,J$1)-MEDIAN('planning '!$H340,J$2,J$1),+('planning '!$J340&lt;'planning '!$H340)*(J$2-J$1)+MEDIAN('planning '!$J340,J$1,J$2)-MEDIAN('planning '!$H340,J$1,J$2)))</f>
        <v>0</v>
      </c>
      <c r="K339" s="237"/>
      <c r="M339" s="17"/>
      <c r="N339" s="17"/>
      <c r="O339" s="17"/>
      <c r="P339" s="17"/>
      <c r="Q339" s="17"/>
    </row>
    <row r="340" spans="2:17" ht="15.75" thickBot="1" x14ac:dyDescent="0.3">
      <c r="B340" s="231" t="str">
        <f>'planning '!F341</f>
        <v>off</v>
      </c>
      <c r="C340" s="232">
        <f t="shared" si="67"/>
        <v>44067</v>
      </c>
      <c r="D340" s="233">
        <f>IF(OR('planning '!$H341="",'planning '!$J341=""),0,IF('planning '!$J341&gt;'planning '!$H341,MEDIAN('planning '!$J341,D$2,D$1)-MEDIAN('planning '!$H341,D$2,D$1),+('planning '!$J341&lt;'planning '!$H341)*(D$2-D$1)+MEDIAN('planning '!$J341,D$1,D$2)-MEDIAN('planning '!$H341,D$1,D$2)))-'planning '!V341</f>
        <v>0</v>
      </c>
      <c r="E340" s="241"/>
      <c r="F340" s="235">
        <f>IF(OR('planning '!$H341="",'planning '!$J341=""),0,IF('planning '!$J341&gt;'planning '!$H341,MEDIAN('planning '!$J341,F$2,F$1)-MEDIAN('planning '!$H341,F$2,F$1),+('planning '!$J341&lt;'planning '!$H341)*(F$2-F$1)+MEDIAN('planning '!$J341,F$1,F$2)-MEDIAN('planning '!$H341,F$1,F$2)))-'planning '!AA341</f>
        <v>0</v>
      </c>
      <c r="G340" s="238"/>
      <c r="H340" s="235">
        <f>IF(OR('planning '!$H341="",'planning '!$J341=""),0,IF('planning '!$J341&gt;'planning '!$H341,MEDIAN('planning '!$J341,H$2,H$1)-MEDIAN('planning '!$H341,H$2,H$1),+('planning '!$J341&lt;'planning '!$H341)*(H$2-H$1)+MEDIAN('planning '!$J341,H$1,H$2)-MEDIAN('planning '!$H341,H$1,H$2)))</f>
        <v>0</v>
      </c>
      <c r="I340" s="238"/>
      <c r="J340" s="234">
        <f>IF(OR('planning '!$H341="",'planning '!$J341=""),0,IF('planning '!$J341&gt;'planning '!$H341,MEDIAN('planning '!$J341,J$2,J$1)-MEDIAN('planning '!$H341,J$2,J$1),+('planning '!$J341&lt;'planning '!$H341)*(J$2-J$1)+MEDIAN('planning '!$J341,J$1,J$2)-MEDIAN('planning '!$H341,J$1,J$2)))</f>
        <v>0</v>
      </c>
      <c r="K340" s="238"/>
      <c r="M340" s="17"/>
      <c r="N340" s="17"/>
      <c r="O340" s="17"/>
      <c r="P340" s="17"/>
      <c r="Q340" s="17"/>
    </row>
    <row r="341" spans="2:17" x14ac:dyDescent="0.25">
      <c r="M341" s="17"/>
      <c r="N341" s="17"/>
      <c r="O341" s="17"/>
      <c r="P341" s="17"/>
      <c r="Q341" s="17"/>
    </row>
    <row r="342" spans="2:17" x14ac:dyDescent="0.25">
      <c r="M342" s="17"/>
      <c r="N342" s="17"/>
      <c r="O342" s="17"/>
      <c r="P342" s="17"/>
      <c r="Q342" s="17"/>
    </row>
    <row r="343" spans="2:17" ht="15.75" thickBot="1" x14ac:dyDescent="0.3">
      <c r="M343" s="17"/>
      <c r="N343" s="17"/>
      <c r="O343" s="17"/>
      <c r="P343" s="17"/>
      <c r="Q343" s="17"/>
    </row>
    <row r="344" spans="2:17" x14ac:dyDescent="0.25">
      <c r="B344" s="231" t="str">
        <f>'planning '!F345</f>
        <v>récupération</v>
      </c>
      <c r="C344" s="232">
        <f>'planning '!E345</f>
        <v>44068</v>
      </c>
      <c r="D344" s="233"/>
      <c r="E344" s="239"/>
      <c r="F344" s="235">
        <f>IF(OR('planning '!$H345="",'planning '!$J345=""),0,IF('planning '!$J345&gt;'planning '!$H345,MEDIAN('planning '!$J345,F$2,F$1)-MEDIAN('planning '!$H345,F$2,F$1),+('planning '!$J345&lt;'planning '!$H345)*(F$2-F$1)+MEDIAN('planning '!$J345,F$1,F$2)-MEDIAN('planning '!$H345,F$1,F$2)))-'planning '!AA345</f>
        <v>0</v>
      </c>
      <c r="G344" s="236"/>
      <c r="H344" s="235">
        <f>IF(OR('planning '!$H345="",'planning '!$J345=""),0,IF('planning '!$J345&gt;'planning '!$H345,MEDIAN('planning '!$J345,H$2,H$1)-MEDIAN('planning '!$H345,H$2,H$1),+('planning '!$J345&lt;'planning '!$H345)*(H$2-H$1)+MEDIAN('planning '!$J345,H$1,H$2)-MEDIAN('planning '!$H345,H$1,H$2)))</f>
        <v>0</v>
      </c>
      <c r="I344" s="236"/>
      <c r="J344" s="234">
        <f>IF(OR('planning '!$H345="",'planning '!$J345=""),0,IF('planning '!$J345&gt;'planning '!$H345,MEDIAN('planning '!$J345,J$2,J$1)-MEDIAN('planning '!$H345,J$2,J$1),+('planning '!$J345&lt;'planning '!$H345)*(J$2-J$1)+MEDIAN('planning '!$J345,J$1,J$2)-MEDIAN('planning '!$H345,J$1,J$2)))</f>
        <v>0</v>
      </c>
      <c r="K344" s="236"/>
      <c r="M344" s="17"/>
      <c r="N344" s="264"/>
      <c r="O344" s="265" t="s">
        <v>114</v>
      </c>
      <c r="P344" s="266"/>
      <c r="Q344" s="17"/>
    </row>
    <row r="345" spans="2:17" x14ac:dyDescent="0.25">
      <c r="B345" s="231" t="str">
        <f>'planning '!F346</f>
        <v>récupération</v>
      </c>
      <c r="C345" s="232">
        <f>C344+1</f>
        <v>44069</v>
      </c>
      <c r="D345" s="233"/>
      <c r="E345" s="240"/>
      <c r="F345" s="235">
        <f>IF(OR('planning '!$H346="",'planning '!$J346=""),0,IF('planning '!$J346&gt;'planning '!$H346,MEDIAN('planning '!$J346,F$2,F$1)-MEDIAN('planning '!$H346,F$2,F$1),+('planning '!$J346&lt;'planning '!$H346)*(F$2-F$1)+MEDIAN('planning '!$J346,F$1,F$2)-MEDIAN('planning '!$H346,F$1,F$2)))-'planning '!AA346</f>
        <v>0</v>
      </c>
      <c r="G345" s="237"/>
      <c r="H345" s="235">
        <f>IF(OR('planning '!$H346="",'planning '!$J346=""),0,IF('planning '!$J346&gt;'planning '!$H346,MEDIAN('planning '!$J346,H$2,H$1)-MEDIAN('planning '!$H346,H$2,H$1),+('planning '!$J346&lt;'planning '!$H346)*(H$2-H$1)+MEDIAN('planning '!$J346,H$1,H$2)-MEDIAN('planning '!$H346,H$1,H$2)))</f>
        <v>0</v>
      </c>
      <c r="I345" s="237"/>
      <c r="J345" s="234">
        <f>IF(OR('planning '!$H346="",'planning '!$J346=""),0,IF('planning '!$J346&gt;'planning '!$H346,MEDIAN('planning '!$J346,J$2,J$1)-MEDIAN('planning '!$H346,J$2,J$1),+('planning '!$J346&lt;'planning '!$H346)*(J$2-J$1)+MEDIAN('planning '!$J346,J$1,J$2)-MEDIAN('planning '!$H346,J$1,J$2)))</f>
        <v>0</v>
      </c>
      <c r="K345" s="237"/>
      <c r="M345" s="17"/>
      <c r="N345" s="263" t="s">
        <v>117</v>
      </c>
      <c r="O345" s="263" t="s">
        <v>115</v>
      </c>
      <c r="P345" s="263" t="s">
        <v>116</v>
      </c>
      <c r="Q345" s="243" t="s">
        <v>118</v>
      </c>
    </row>
    <row r="346" spans="2:17" x14ac:dyDescent="0.25">
      <c r="B346" s="231" t="str">
        <f>'planning '!F347</f>
        <v>travail</v>
      </c>
      <c r="C346" s="232">
        <f>C345+1</f>
        <v>44070</v>
      </c>
      <c r="D346" s="233"/>
      <c r="E346" s="240"/>
      <c r="F346" s="235">
        <f>IF(OR('planning '!$H347="",'planning '!$J347=""),0,IF('planning '!$J347&gt;'planning '!$H347,MEDIAN('planning '!$J347,F$2,F$1)-MEDIAN('planning '!$H347,F$2,F$1),+('planning '!$J347&lt;'planning '!$H347)*(F$2-F$1)+MEDIAN('planning '!$J347,F$1,F$2)-MEDIAN('planning '!$H347,F$1,F$2)))-'planning '!AA347</f>
        <v>0</v>
      </c>
      <c r="G346" s="237"/>
      <c r="H346" s="235">
        <f>IF(OR('planning '!$H347="",'planning '!$J347=""),0,IF('planning '!$J347&gt;'planning '!$H347,MEDIAN('planning '!$J347,H$2,H$1)-MEDIAN('planning '!$H347,H$2,H$1),+('planning '!$J347&lt;'planning '!$H347)*(H$2-H$1)+MEDIAN('planning '!$J347,H$1,H$2)-MEDIAN('planning '!$H347,H$1,H$2)))</f>
        <v>0</v>
      </c>
      <c r="I346" s="237"/>
      <c r="J346" s="234">
        <f>IF(OR('planning '!$H347="",'planning '!$J347=""),0,IF('planning '!$J347&gt;'planning '!$H347,MEDIAN('planning '!$J347,J$2,J$1)-MEDIAN('planning '!$H347,J$2,J$1),+('planning '!$J347&lt;'planning '!$H347)*(J$2-J$1)+MEDIAN('planning '!$J347,J$1,J$2)-MEDIAN('planning '!$H347,J$1,J$2)))</f>
        <v>0.33333333333333337</v>
      </c>
      <c r="K346" s="237"/>
      <c r="M346" s="231" t="s">
        <v>111</v>
      </c>
      <c r="N346" s="261">
        <f t="shared" ref="N346:Q347" ca="1" si="68">SUMIF(OFFSET($C344:$C351,0,MATCH(N$10,$B$5:$H$5,0)-1,7,1),$K347,OFFSET($B344:$B350,0,MATCH(N$10,$B$5:$H$5,0)-1,7,1))</f>
        <v>0</v>
      </c>
      <c r="O346" s="261">
        <f t="shared" ca="1" si="68"/>
        <v>0</v>
      </c>
      <c r="P346" s="261">
        <f t="shared" ca="1" si="68"/>
        <v>0</v>
      </c>
      <c r="Q346" s="261">
        <f t="shared" ca="1" si="68"/>
        <v>0</v>
      </c>
    </row>
    <row r="347" spans="2:17" x14ac:dyDescent="0.25">
      <c r="B347" s="231" t="str">
        <f>'planning '!F348</f>
        <v>travail</v>
      </c>
      <c r="C347" s="232">
        <f t="shared" ref="C347:C350" si="69">C346+1</f>
        <v>44071</v>
      </c>
      <c r="D347" s="233"/>
      <c r="E347" s="240"/>
      <c r="F347" s="235">
        <f>IF(OR('planning '!$H348="",'planning '!$J348=""),0,IF('planning '!$J348&gt;'planning '!$H348,MEDIAN('planning '!$J348,F$2,F$1)-MEDIAN('planning '!$H348,F$2,F$1),+('planning '!$J348&lt;'planning '!$H348)*(F$2-F$1)+MEDIAN('planning '!$J348,F$1,F$2)-MEDIAN('planning '!$H348,F$1,F$2)))-'planning '!AA348</f>
        <v>0</v>
      </c>
      <c r="G347" s="237"/>
      <c r="H347" s="235">
        <f>IF(OR('planning '!$H348="",'planning '!$J348=""),0,IF('planning '!$J348&gt;'planning '!$H348,MEDIAN('planning '!$J348,H$2,H$1)-MEDIAN('planning '!$H348,H$2,H$1),+('planning '!$J348&lt;'planning '!$H348)*(H$2-H$1)+MEDIAN('planning '!$J348,H$1,H$2)-MEDIAN('planning '!$H348,H$1,H$2)))</f>
        <v>0</v>
      </c>
      <c r="I347" s="237"/>
      <c r="J347" s="234">
        <f>IF(OR('planning '!$H348="",'planning '!$J348=""),0,IF('planning '!$J348&gt;'planning '!$H348,MEDIAN('planning '!$J348,J$2,J$1)-MEDIAN('planning '!$H348,J$2,J$1),+('planning '!$J348&lt;'planning '!$H348)*(J$2-J$1)+MEDIAN('planning '!$J348,J$1,J$2)-MEDIAN('planning '!$H348,J$1,J$2)))</f>
        <v>0.33333333333333337</v>
      </c>
      <c r="K347" s="237"/>
      <c r="M347" s="231" t="s">
        <v>21</v>
      </c>
      <c r="N347" s="261">
        <f t="shared" ca="1" si="68"/>
        <v>0</v>
      </c>
      <c r="O347" s="261">
        <f t="shared" ca="1" si="68"/>
        <v>0</v>
      </c>
      <c r="P347" s="261">
        <f t="shared" ca="1" si="68"/>
        <v>0</v>
      </c>
      <c r="Q347" s="261">
        <f t="shared" ca="1" si="68"/>
        <v>0</v>
      </c>
    </row>
    <row r="348" spans="2:17" x14ac:dyDescent="0.25">
      <c r="B348" s="231" t="str">
        <f>'planning '!F349</f>
        <v>travail</v>
      </c>
      <c r="C348" s="232">
        <f t="shared" si="69"/>
        <v>44072</v>
      </c>
      <c r="D348" s="233"/>
      <c r="E348" s="240"/>
      <c r="F348" s="235">
        <f>IF(OR('planning '!$H349="",'planning '!$J349=""),0,IF('planning '!$J349&gt;'planning '!$H349,MEDIAN('planning '!$J349,F$2,F$1)-MEDIAN('planning '!$H349,F$2,F$1),+('planning '!$J349&lt;'planning '!$H349)*(F$2-F$1)+MEDIAN('planning '!$J349,F$1,F$2)-MEDIAN('planning '!$H349,F$1,F$2)))-'planning '!AA349</f>
        <v>0</v>
      </c>
      <c r="G348" s="237"/>
      <c r="H348" s="235">
        <f>IF(OR('planning '!$H349="",'planning '!$J349=""),0,IF('planning '!$J349&gt;'planning '!$H349,MEDIAN('planning '!$J349,H$2,H$1)-MEDIAN('planning '!$H349,H$2,H$1),+('planning '!$J349&lt;'planning '!$H349)*(H$2-H$1)+MEDIAN('planning '!$J349,H$1,H$2)-MEDIAN('planning '!$H349,H$1,H$2)))</f>
        <v>0</v>
      </c>
      <c r="I348" s="237"/>
      <c r="J348" s="234">
        <f>IF(OR('planning '!$H349="",'planning '!$J349=""),0,IF('planning '!$J349&gt;'planning '!$H349,MEDIAN('planning '!$J349,J$2,J$1)-MEDIAN('planning '!$H349,J$2,J$1),+('planning '!$J349&lt;'planning '!$H349)*(J$2-J$1)+MEDIAN('planning '!$J349,J$1,J$2)-MEDIAN('planning '!$H349,J$1,J$2)))</f>
        <v>0.33333333333333337</v>
      </c>
      <c r="K348" s="237"/>
      <c r="M348" s="17"/>
      <c r="N348" s="17"/>
      <c r="O348" s="17"/>
      <c r="P348" s="17"/>
      <c r="Q348" s="17"/>
    </row>
    <row r="349" spans="2:17" x14ac:dyDescent="0.25">
      <c r="B349" s="231" t="str">
        <f>'planning '!F350</f>
        <v>off</v>
      </c>
      <c r="C349" s="232">
        <f t="shared" si="69"/>
        <v>44073</v>
      </c>
      <c r="D349" s="233">
        <f>IF(OR('planning '!$H350="",'planning '!$J350=""),0,IF('planning '!$J350&gt;'planning '!$H350,MEDIAN('planning '!$J350,D$2,D$1)-MEDIAN('planning '!$H350,D$2,D$1),+('planning '!$J350&lt;'planning '!$H350)*(D$2-D$1)+MEDIAN('planning '!$J350,D$1,D$2)-MEDIAN('planning '!$H350,D$1,D$2)))-'planning '!V350</f>
        <v>0</v>
      </c>
      <c r="E349" s="240"/>
      <c r="F349" s="235">
        <f>IF(OR('planning '!$H350="",'planning '!$J350=""),0,IF('planning '!$J350&gt;'planning '!$H350,MEDIAN('planning '!$J350,F$2,F$1)-MEDIAN('planning '!$H350,F$2,F$1),+('planning '!$J350&lt;'planning '!$H350)*(F$2-F$1)+MEDIAN('planning '!$J350,F$1,F$2)-MEDIAN('planning '!$H350,F$1,F$2)))-'planning '!AA350</f>
        <v>0</v>
      </c>
      <c r="G349" s="237"/>
      <c r="H349" s="235">
        <f>IF(OR('planning '!$H350="",'planning '!$J350=""),0,IF('planning '!$J350&gt;'planning '!$H350,MEDIAN('planning '!$J350,H$2,H$1)-MEDIAN('planning '!$H350,H$2,H$1),+('planning '!$J350&lt;'planning '!$H350)*(H$2-H$1)+MEDIAN('planning '!$J350,H$1,H$2)-MEDIAN('planning '!$H350,H$1,H$2)))</f>
        <v>0</v>
      </c>
      <c r="I349" s="237"/>
      <c r="J349" s="234">
        <f>IF(OR('planning '!$H350="",'planning '!$J350=""),0,IF('planning '!$J350&gt;'planning '!$H350,MEDIAN('planning '!$J350,J$2,J$1)-MEDIAN('planning '!$H350,J$2,J$1),+('planning '!$J350&lt;'planning '!$H350)*(J$2-J$1)+MEDIAN('planning '!$J350,J$1,J$2)-MEDIAN('planning '!$H350,J$1,J$2)))</f>
        <v>0</v>
      </c>
      <c r="K349" s="237"/>
      <c r="M349" s="17"/>
      <c r="N349" s="17"/>
      <c r="O349" s="17"/>
      <c r="P349" s="17"/>
      <c r="Q349" s="17"/>
    </row>
    <row r="350" spans="2:17" ht="15.75" thickBot="1" x14ac:dyDescent="0.3">
      <c r="B350" s="231" t="str">
        <f>'planning '!F351</f>
        <v>off</v>
      </c>
      <c r="C350" s="232">
        <f t="shared" si="69"/>
        <v>44074</v>
      </c>
      <c r="D350" s="233">
        <f>IF(OR('planning '!$H351="",'planning '!$J351=""),0,IF('planning '!$J351&gt;'planning '!$H351,MEDIAN('planning '!$J351,D$2,D$1)-MEDIAN('planning '!$H351,D$2,D$1),+('planning '!$J351&lt;'planning '!$H351)*(D$2-D$1)+MEDIAN('planning '!$J351,D$1,D$2)-MEDIAN('planning '!$H351,D$1,D$2)))-'planning '!V351</f>
        <v>0</v>
      </c>
      <c r="E350" s="241"/>
      <c r="F350" s="235">
        <f>IF(OR('planning '!$H351="",'planning '!$J351=""),0,IF('planning '!$J351&gt;'planning '!$H351,MEDIAN('planning '!$J351,F$2,F$1)-MEDIAN('planning '!$H351,F$2,F$1),+('planning '!$J351&lt;'planning '!$H351)*(F$2-F$1)+MEDIAN('planning '!$J351,F$1,F$2)-MEDIAN('planning '!$H351,F$1,F$2)))-'planning '!AA351</f>
        <v>0</v>
      </c>
      <c r="G350" s="238"/>
      <c r="H350" s="235">
        <f>IF(OR('planning '!$H351="",'planning '!$J351=""),0,IF('planning '!$J351&gt;'planning '!$H351,MEDIAN('planning '!$J351,H$2,H$1)-MEDIAN('planning '!$H351,H$2,H$1),+('planning '!$J351&lt;'planning '!$H351)*(H$2-H$1)+MEDIAN('planning '!$J351,H$1,H$2)-MEDIAN('planning '!$H351,H$1,H$2)))</f>
        <v>0</v>
      </c>
      <c r="I350" s="238"/>
      <c r="J350" s="234">
        <f>IF(OR('planning '!$H351="",'planning '!$J351=""),0,IF('planning '!$J351&gt;'planning '!$H351,MEDIAN('planning '!$J351,J$2,J$1)-MEDIAN('planning '!$H351,J$2,J$1),+('planning '!$J351&lt;'planning '!$H351)*(J$2-J$1)+MEDIAN('planning '!$J351,J$1,J$2)-MEDIAN('planning '!$H351,J$1,J$2)))</f>
        <v>0</v>
      </c>
      <c r="K350" s="238"/>
      <c r="M350" s="17"/>
      <c r="N350" s="17"/>
      <c r="O350" s="17"/>
      <c r="P350" s="17"/>
      <c r="Q350" s="17"/>
    </row>
    <row r="351" spans="2:17" x14ac:dyDescent="0.25">
      <c r="M351" s="17"/>
      <c r="N351" s="17"/>
      <c r="O351" s="17"/>
      <c r="P351" s="17"/>
      <c r="Q351" s="17"/>
    </row>
    <row r="352" spans="2:17" x14ac:dyDescent="0.25">
      <c r="M352" s="17"/>
      <c r="N352" s="17"/>
      <c r="O352" s="17"/>
      <c r="P352" s="17"/>
      <c r="Q352" s="17"/>
    </row>
    <row r="353" spans="2:17" ht="15.75" thickBot="1" x14ac:dyDescent="0.3">
      <c r="M353" s="17"/>
      <c r="N353" s="17"/>
      <c r="O353" s="17"/>
      <c r="P353" s="17"/>
      <c r="Q353" s="17"/>
    </row>
    <row r="354" spans="2:17" x14ac:dyDescent="0.25">
      <c r="B354" s="231" t="str">
        <f>'planning '!F355</f>
        <v>travail</v>
      </c>
      <c r="C354" s="232">
        <f>'planning '!E355</f>
        <v>44075</v>
      </c>
      <c r="D354" s="233"/>
      <c r="E354" s="239"/>
      <c r="F354" s="235">
        <f>IF(OR('planning '!$H355="",'planning '!$J355=""),0,IF('planning '!$J355&gt;'planning '!$H355,MEDIAN('planning '!$J355,F$2,F$1)-MEDIAN('planning '!$H355,F$2,F$1),+('planning '!$J355&lt;'planning '!$H355)*(F$2-F$1)+MEDIAN('planning '!$J355,F$1,F$2)-MEDIAN('planning '!$H355,F$1,F$2)))-'planning '!AA355</f>
        <v>0</v>
      </c>
      <c r="G354" s="236"/>
      <c r="H354" s="235">
        <f>IF(OR('planning '!$H355="",'planning '!$J355=""),0,IF('planning '!$J355&gt;'planning '!$H355,MEDIAN('planning '!$J355,H$2,H$1)-MEDIAN('planning '!$H355,H$2,H$1),+('planning '!$J355&lt;'planning '!$H355)*(H$2-H$1)+MEDIAN('planning '!$J355,H$1,H$2)-MEDIAN('planning '!$H355,H$1,H$2)))</f>
        <v>0</v>
      </c>
      <c r="I354" s="236"/>
      <c r="J354" s="234">
        <f>IF(OR('planning '!$H355="",'planning '!$J355=""),0,IF('planning '!$J355&gt;'planning '!$H355,MEDIAN('planning '!$J355,J$2,J$1)-MEDIAN('planning '!$H355,J$2,J$1),+('planning '!$J355&lt;'planning '!$H355)*(J$2-J$1)+MEDIAN('planning '!$J355,J$1,J$2)-MEDIAN('planning '!$H355,J$1,J$2)))</f>
        <v>0.33333333333333337</v>
      </c>
      <c r="K354" s="236"/>
      <c r="M354" s="17"/>
      <c r="N354" s="264"/>
      <c r="O354" s="265" t="s">
        <v>114</v>
      </c>
      <c r="P354" s="266"/>
      <c r="Q354" s="17"/>
    </row>
    <row r="355" spans="2:17" x14ac:dyDescent="0.25">
      <c r="B355" s="231" t="str">
        <f>'planning '!F356</f>
        <v>travail</v>
      </c>
      <c r="C355" s="232">
        <f>C354+1</f>
        <v>44076</v>
      </c>
      <c r="D355" s="233"/>
      <c r="E355" s="240"/>
      <c r="F355" s="235">
        <f>IF(OR('planning '!$H356="",'planning '!$J356=""),0,IF('planning '!$J356&gt;'planning '!$H356,MEDIAN('planning '!$J356,F$2,F$1)-MEDIAN('planning '!$H356,F$2,F$1),+('planning '!$J356&lt;'planning '!$H356)*(F$2-F$1)+MEDIAN('planning '!$J356,F$1,F$2)-MEDIAN('planning '!$H356,F$1,F$2)))-'planning '!AA356</f>
        <v>0</v>
      </c>
      <c r="G355" s="237"/>
      <c r="H355" s="235">
        <f>IF(OR('planning '!$H356="",'planning '!$J356=""),0,IF('planning '!$J356&gt;'planning '!$H356,MEDIAN('planning '!$J356,H$2,H$1)-MEDIAN('planning '!$H356,H$2,H$1),+('planning '!$J356&lt;'planning '!$H356)*(H$2-H$1)+MEDIAN('planning '!$J356,H$1,H$2)-MEDIAN('planning '!$H356,H$1,H$2)))</f>
        <v>0</v>
      </c>
      <c r="I355" s="237"/>
      <c r="J355" s="234">
        <f>IF(OR('planning '!$H356="",'planning '!$J356=""),0,IF('planning '!$J356&gt;'planning '!$H356,MEDIAN('planning '!$J356,J$2,J$1)-MEDIAN('planning '!$H356,J$2,J$1),+('planning '!$J356&lt;'planning '!$H356)*(J$2-J$1)+MEDIAN('planning '!$J356,J$1,J$2)-MEDIAN('planning '!$H356,J$1,J$2)))</f>
        <v>0.33333333333333337</v>
      </c>
      <c r="K355" s="237"/>
      <c r="M355" s="17"/>
      <c r="N355" s="263" t="s">
        <v>117</v>
      </c>
      <c r="O355" s="263" t="s">
        <v>115</v>
      </c>
      <c r="P355" s="263" t="s">
        <v>116</v>
      </c>
      <c r="Q355" s="243" t="s">
        <v>118</v>
      </c>
    </row>
    <row r="356" spans="2:17" x14ac:dyDescent="0.25">
      <c r="B356" s="231" t="str">
        <f>'planning '!F357</f>
        <v>travail</v>
      </c>
      <c r="C356" s="232">
        <f>C355+1</f>
        <v>44077</v>
      </c>
      <c r="D356" s="233"/>
      <c r="E356" s="240"/>
      <c r="F356" s="235">
        <f>IF(OR('planning '!$H357="",'planning '!$J357=""),0,IF('planning '!$J357&gt;'planning '!$H357,MEDIAN('planning '!$J357,F$2,F$1)-MEDIAN('planning '!$H357,F$2,F$1),+('planning '!$J357&lt;'planning '!$H357)*(F$2-F$1)+MEDIAN('planning '!$J357,F$1,F$2)-MEDIAN('planning '!$H357,F$1,F$2)))-'planning '!AA357</f>
        <v>0</v>
      </c>
      <c r="G356" s="237"/>
      <c r="H356" s="235">
        <f>IF(OR('planning '!$H357="",'planning '!$J357=""),0,IF('planning '!$J357&gt;'planning '!$H357,MEDIAN('planning '!$J357,H$2,H$1)-MEDIAN('planning '!$H357,H$2,H$1),+('planning '!$J357&lt;'planning '!$H357)*(H$2-H$1)+MEDIAN('planning '!$J357,H$1,H$2)-MEDIAN('planning '!$H357,H$1,H$2)))</f>
        <v>0</v>
      </c>
      <c r="I356" s="237"/>
      <c r="J356" s="234">
        <f>IF(OR('planning '!$H357="",'planning '!$J357=""),0,IF('planning '!$J357&gt;'planning '!$H357,MEDIAN('planning '!$J357,J$2,J$1)-MEDIAN('planning '!$H357,J$2,J$1),+('planning '!$J357&lt;'planning '!$H357)*(J$2-J$1)+MEDIAN('planning '!$J357,J$1,J$2)-MEDIAN('planning '!$H357,J$1,J$2)))</f>
        <v>0.33333333333333337</v>
      </c>
      <c r="K356" s="237"/>
      <c r="M356" s="231" t="s">
        <v>111</v>
      </c>
      <c r="N356" s="261">
        <f t="shared" ref="N356:Q357" ca="1" si="70">SUMIF(OFFSET($C354:$C361,0,MATCH(N$10,$B$5:$H$5,0)-1,7,1),$K357,OFFSET($B354:$B360,0,MATCH(N$10,$B$5:$H$5,0)-1,7,1))</f>
        <v>0</v>
      </c>
      <c r="O356" s="261">
        <f t="shared" ca="1" si="70"/>
        <v>0</v>
      </c>
      <c r="P356" s="261">
        <f t="shared" ca="1" si="70"/>
        <v>0</v>
      </c>
      <c r="Q356" s="261">
        <f t="shared" ca="1" si="70"/>
        <v>0</v>
      </c>
    </row>
    <row r="357" spans="2:17" x14ac:dyDescent="0.25">
      <c r="B357" s="231" t="str">
        <f>'planning '!F358</f>
        <v>travail</v>
      </c>
      <c r="C357" s="232">
        <f t="shared" ref="C357:C360" si="71">C356+1</f>
        <v>44078</v>
      </c>
      <c r="D357" s="233"/>
      <c r="E357" s="240"/>
      <c r="F357" s="235">
        <f>IF(OR('planning '!$H358="",'planning '!$J358=""),0,IF('planning '!$J358&gt;'planning '!$H358,MEDIAN('planning '!$J358,F$2,F$1)-MEDIAN('planning '!$H358,F$2,F$1),+('planning '!$J358&lt;'planning '!$H358)*(F$2-F$1)+MEDIAN('planning '!$J358,F$1,F$2)-MEDIAN('planning '!$H358,F$1,F$2)))-'planning '!AA358</f>
        <v>0</v>
      </c>
      <c r="G357" s="237"/>
      <c r="H357" s="235">
        <f>IF(OR('planning '!$H358="",'planning '!$J358=""),0,IF('planning '!$J358&gt;'planning '!$H358,MEDIAN('planning '!$J358,H$2,H$1)-MEDIAN('planning '!$H358,H$2,H$1),+('planning '!$J358&lt;'planning '!$H358)*(H$2-H$1)+MEDIAN('planning '!$J358,H$1,H$2)-MEDIAN('planning '!$H358,H$1,H$2)))</f>
        <v>0</v>
      </c>
      <c r="I357" s="237"/>
      <c r="J357" s="234">
        <f>IF(OR('planning '!$H358="",'planning '!$J358=""),0,IF('planning '!$J358&gt;'planning '!$H358,MEDIAN('planning '!$J358,J$2,J$1)-MEDIAN('planning '!$H358,J$2,J$1),+('planning '!$J358&lt;'planning '!$H358)*(J$2-J$1)+MEDIAN('planning '!$J358,J$1,J$2)-MEDIAN('planning '!$H358,J$1,J$2)))</f>
        <v>0.33333333333333337</v>
      </c>
      <c r="K357" s="237"/>
      <c r="M357" s="231" t="s">
        <v>21</v>
      </c>
      <c r="N357" s="261">
        <f t="shared" ca="1" si="70"/>
        <v>0</v>
      </c>
      <c r="O357" s="261">
        <f t="shared" ca="1" si="70"/>
        <v>0</v>
      </c>
      <c r="P357" s="261">
        <f t="shared" ca="1" si="70"/>
        <v>0</v>
      </c>
      <c r="Q357" s="261">
        <f t="shared" ca="1" si="70"/>
        <v>0</v>
      </c>
    </row>
    <row r="358" spans="2:17" x14ac:dyDescent="0.25">
      <c r="B358" s="231" t="str">
        <f>'planning '!F359</f>
        <v>travail</v>
      </c>
      <c r="C358" s="232">
        <f t="shared" si="71"/>
        <v>44079</v>
      </c>
      <c r="D358" s="233"/>
      <c r="E358" s="240"/>
      <c r="F358" s="235">
        <f>IF(OR('planning '!$H359="",'planning '!$J359=""),0,IF('planning '!$J359&gt;'planning '!$H359,MEDIAN('planning '!$J359,F$2,F$1)-MEDIAN('planning '!$H359,F$2,F$1),+('planning '!$J359&lt;'planning '!$H359)*(F$2-F$1)+MEDIAN('planning '!$J359,F$1,F$2)-MEDIAN('planning '!$H359,F$1,F$2)))-'planning '!AA359</f>
        <v>0</v>
      </c>
      <c r="G358" s="237"/>
      <c r="H358" s="235">
        <f>IF(OR('planning '!$H359="",'planning '!$J359=""),0,IF('planning '!$J359&gt;'planning '!$H359,MEDIAN('planning '!$J359,H$2,H$1)-MEDIAN('planning '!$H359,H$2,H$1),+('planning '!$J359&lt;'planning '!$H359)*(H$2-H$1)+MEDIAN('planning '!$J359,H$1,H$2)-MEDIAN('planning '!$H359,H$1,H$2)))</f>
        <v>0</v>
      </c>
      <c r="I358" s="237"/>
      <c r="J358" s="234">
        <f>IF(OR('planning '!$H359="",'planning '!$J359=""),0,IF('planning '!$J359&gt;'planning '!$H359,MEDIAN('planning '!$J359,J$2,J$1)-MEDIAN('planning '!$H359,J$2,J$1),+('planning '!$J359&lt;'planning '!$H359)*(J$2-J$1)+MEDIAN('planning '!$J359,J$1,J$2)-MEDIAN('planning '!$H359,J$1,J$2)))</f>
        <v>0.33333333333333337</v>
      </c>
      <c r="K358" s="237"/>
      <c r="M358" s="17"/>
      <c r="N358" s="17"/>
      <c r="O358" s="17"/>
      <c r="P358" s="17"/>
      <c r="Q358" s="17"/>
    </row>
    <row r="359" spans="2:17" x14ac:dyDescent="0.25">
      <c r="B359" s="231" t="str">
        <f>'planning '!F360</f>
        <v>off</v>
      </c>
      <c r="C359" s="232">
        <f t="shared" si="71"/>
        <v>44080</v>
      </c>
      <c r="D359" s="233">
        <f>IF(OR('planning '!$H360="",'planning '!$J360=""),0,IF('planning '!$J360&gt;'planning '!$H360,MEDIAN('planning '!$J360,D$2,D$1)-MEDIAN('planning '!$H360,D$2,D$1),+('planning '!$J360&lt;'planning '!$H360)*(D$2-D$1)+MEDIAN('planning '!$J360,D$1,D$2)-MEDIAN('planning '!$H360,D$1,D$2)))-'planning '!V360</f>
        <v>0</v>
      </c>
      <c r="E359" s="240"/>
      <c r="F359" s="235">
        <f>IF(OR('planning '!$H360="",'planning '!$J360=""),0,IF('planning '!$J360&gt;'planning '!$H360,MEDIAN('planning '!$J360,F$2,F$1)-MEDIAN('planning '!$H360,F$2,F$1),+('planning '!$J360&lt;'planning '!$H360)*(F$2-F$1)+MEDIAN('planning '!$J360,F$1,F$2)-MEDIAN('planning '!$H360,F$1,F$2)))-'planning '!AA360</f>
        <v>0</v>
      </c>
      <c r="G359" s="237"/>
      <c r="H359" s="235">
        <f>IF(OR('planning '!$H360="",'planning '!$J360=""),0,IF('planning '!$J360&gt;'planning '!$H360,MEDIAN('planning '!$J360,H$2,H$1)-MEDIAN('planning '!$H360,H$2,H$1),+('planning '!$J360&lt;'planning '!$H360)*(H$2-H$1)+MEDIAN('planning '!$J360,H$1,H$2)-MEDIAN('planning '!$H360,H$1,H$2)))</f>
        <v>0</v>
      </c>
      <c r="I359" s="237"/>
      <c r="J359" s="234">
        <f>IF(OR('planning '!$H360="",'planning '!$J360=""),0,IF('planning '!$J360&gt;'planning '!$H360,MEDIAN('planning '!$J360,J$2,J$1)-MEDIAN('planning '!$H360,J$2,J$1),+('planning '!$J360&lt;'planning '!$H360)*(J$2-J$1)+MEDIAN('planning '!$J360,J$1,J$2)-MEDIAN('planning '!$H360,J$1,J$2)))</f>
        <v>0</v>
      </c>
      <c r="K359" s="237"/>
      <c r="M359" s="17"/>
      <c r="N359" s="17"/>
      <c r="O359" s="17"/>
      <c r="P359" s="17"/>
      <c r="Q359" s="17"/>
    </row>
    <row r="360" spans="2:17" ht="15.75" thickBot="1" x14ac:dyDescent="0.3">
      <c r="B360" s="231" t="str">
        <f>'planning '!F361</f>
        <v>off</v>
      </c>
      <c r="C360" s="232">
        <f t="shared" si="71"/>
        <v>44081</v>
      </c>
      <c r="D360" s="233">
        <f>IF(OR('planning '!$H361="",'planning '!$J361=""),0,IF('planning '!$J361&gt;'planning '!$H361,MEDIAN('planning '!$J361,D$2,D$1)-MEDIAN('planning '!$H361,D$2,D$1),+('planning '!$J361&lt;'planning '!$H361)*(D$2-D$1)+MEDIAN('planning '!$J361,D$1,D$2)-MEDIAN('planning '!$H361,D$1,D$2)))-'planning '!V361</f>
        <v>0</v>
      </c>
      <c r="E360" s="241"/>
      <c r="F360" s="235">
        <f>IF(OR('planning '!$H361="",'planning '!$J361=""),0,IF('planning '!$J361&gt;'planning '!$H361,MEDIAN('planning '!$J361,F$2,F$1)-MEDIAN('planning '!$H361,F$2,F$1),+('planning '!$J361&lt;'planning '!$H361)*(F$2-F$1)+MEDIAN('planning '!$J361,F$1,F$2)-MEDIAN('planning '!$H361,F$1,F$2)))-'planning '!AA361</f>
        <v>0</v>
      </c>
      <c r="G360" s="238"/>
      <c r="H360" s="235">
        <f>IF(OR('planning '!$H361="",'planning '!$J361=""),0,IF('planning '!$J361&gt;'planning '!$H361,MEDIAN('planning '!$J361,H$2,H$1)-MEDIAN('planning '!$H361,H$2,H$1),+('planning '!$J361&lt;'planning '!$H361)*(H$2-H$1)+MEDIAN('planning '!$J361,H$1,H$2)-MEDIAN('planning '!$H361,H$1,H$2)))</f>
        <v>0</v>
      </c>
      <c r="I360" s="238"/>
      <c r="J360" s="234">
        <f>IF(OR('planning '!$H361="",'planning '!$J361=""),0,IF('planning '!$J361&gt;'planning '!$H361,MEDIAN('planning '!$J361,J$2,J$1)-MEDIAN('planning '!$H361,J$2,J$1),+('planning '!$J361&lt;'planning '!$H361)*(J$2-J$1)+MEDIAN('planning '!$J361,J$1,J$2)-MEDIAN('planning '!$H361,J$1,J$2)))</f>
        <v>0</v>
      </c>
      <c r="K360" s="238"/>
      <c r="M360" s="17"/>
      <c r="N360" s="17"/>
      <c r="O360" s="17"/>
      <c r="P360" s="17"/>
      <c r="Q360" s="17"/>
    </row>
    <row r="361" spans="2:17" x14ac:dyDescent="0.25">
      <c r="M361" s="17"/>
      <c r="N361" s="17"/>
      <c r="O361" s="17"/>
      <c r="P361" s="17"/>
      <c r="Q361" s="17"/>
    </row>
    <row r="362" spans="2:17" x14ac:dyDescent="0.25">
      <c r="M362" s="17"/>
      <c r="N362" s="17"/>
      <c r="O362" s="17"/>
      <c r="P362" s="17"/>
      <c r="Q362" s="17"/>
    </row>
    <row r="363" spans="2:17" ht="15.75" thickBot="1" x14ac:dyDescent="0.3">
      <c r="M363" s="17"/>
      <c r="N363" s="17"/>
      <c r="O363" s="17"/>
      <c r="P363" s="17"/>
      <c r="Q363" s="17"/>
    </row>
    <row r="364" spans="2:17" x14ac:dyDescent="0.25">
      <c r="B364" s="231" t="str">
        <f>'planning '!F365</f>
        <v>travail</v>
      </c>
      <c r="C364" s="232">
        <f>'planning '!E365</f>
        <v>44082</v>
      </c>
      <c r="D364" s="233"/>
      <c r="E364" s="239"/>
      <c r="F364" s="235">
        <f>IF(OR('planning '!$H365="",'planning '!$J365=""),0,IF('planning '!$J365&gt;'planning '!$H365,MEDIAN('planning '!$J365,F$2,F$1)-MEDIAN('planning '!$H365,F$2,F$1),+('planning '!$J365&lt;'planning '!$H365)*(F$2-F$1)+MEDIAN('planning '!$J365,F$1,F$2)-MEDIAN('planning '!$H365,F$1,F$2)))-'planning '!AA365</f>
        <v>0</v>
      </c>
      <c r="G364" s="236"/>
      <c r="H364" s="235">
        <f>IF(OR('planning '!$H365="",'planning '!$J365=""),0,IF('planning '!$J365&gt;'planning '!$H365,MEDIAN('planning '!$J365,H$2,H$1)-MEDIAN('planning '!$H365,H$2,H$1),+('planning '!$J365&lt;'planning '!$H365)*(H$2-H$1)+MEDIAN('planning '!$J365,H$1,H$2)-MEDIAN('planning '!$H365,H$1,H$2)))</f>
        <v>0</v>
      </c>
      <c r="I364" s="236"/>
      <c r="J364" s="234">
        <f>IF(OR('planning '!$H365="",'planning '!$J365=""),0,IF('planning '!$J365&gt;'planning '!$H365,MEDIAN('planning '!$J365,J$2,J$1)-MEDIAN('planning '!$H365,J$2,J$1),+('planning '!$J365&lt;'planning '!$H365)*(J$2-J$1)+MEDIAN('planning '!$J365,J$1,J$2)-MEDIAN('planning '!$H365,J$1,J$2)))</f>
        <v>0.33333333333333337</v>
      </c>
      <c r="K364" s="236"/>
      <c r="M364" s="17"/>
      <c r="N364" s="264"/>
      <c r="O364" s="265" t="s">
        <v>114</v>
      </c>
      <c r="P364" s="266"/>
      <c r="Q364" s="17"/>
    </row>
    <row r="365" spans="2:17" x14ac:dyDescent="0.25">
      <c r="B365" s="231" t="str">
        <f>'planning '!F366</f>
        <v>travail</v>
      </c>
      <c r="C365" s="232">
        <f>C364+1</f>
        <v>44083</v>
      </c>
      <c r="D365" s="233"/>
      <c r="E365" s="240"/>
      <c r="F365" s="235">
        <f>IF(OR('planning '!$H366="",'planning '!$J366=""),0,IF('planning '!$J366&gt;'planning '!$H366,MEDIAN('planning '!$J366,F$2,F$1)-MEDIAN('planning '!$H366,F$2,F$1),+('planning '!$J366&lt;'planning '!$H366)*(F$2-F$1)+MEDIAN('planning '!$J366,F$1,F$2)-MEDIAN('planning '!$H366,F$1,F$2)))-'planning '!AA366</f>
        <v>0</v>
      </c>
      <c r="G365" s="237"/>
      <c r="H365" s="235">
        <f>IF(OR('planning '!$H366="",'planning '!$J366=""),0,IF('planning '!$J366&gt;'planning '!$H366,MEDIAN('planning '!$J366,H$2,H$1)-MEDIAN('planning '!$H366,H$2,H$1),+('planning '!$J366&lt;'planning '!$H366)*(H$2-H$1)+MEDIAN('planning '!$J366,H$1,H$2)-MEDIAN('planning '!$H366,H$1,H$2)))</f>
        <v>0</v>
      </c>
      <c r="I365" s="237"/>
      <c r="J365" s="234">
        <f>IF(OR('planning '!$H366="",'planning '!$J366=""),0,IF('planning '!$J366&gt;'planning '!$H366,MEDIAN('planning '!$J366,J$2,J$1)-MEDIAN('planning '!$H366,J$2,J$1),+('planning '!$J366&lt;'planning '!$H366)*(J$2-J$1)+MEDIAN('planning '!$J366,J$1,J$2)-MEDIAN('planning '!$H366,J$1,J$2)))</f>
        <v>0.33333333333333337</v>
      </c>
      <c r="K365" s="237"/>
      <c r="M365" s="17"/>
      <c r="N365" s="263" t="s">
        <v>117</v>
      </c>
      <c r="O365" s="263" t="s">
        <v>115</v>
      </c>
      <c r="P365" s="263" t="s">
        <v>116</v>
      </c>
      <c r="Q365" s="243" t="s">
        <v>118</v>
      </c>
    </row>
    <row r="366" spans="2:17" x14ac:dyDescent="0.25">
      <c r="B366" s="231" t="str">
        <f>'planning '!F367</f>
        <v>travail</v>
      </c>
      <c r="C366" s="232">
        <f>C365+1</f>
        <v>44084</v>
      </c>
      <c r="D366" s="233"/>
      <c r="E366" s="240"/>
      <c r="F366" s="235">
        <f>IF(OR('planning '!$H367="",'planning '!$J367=""),0,IF('planning '!$J367&gt;'planning '!$H367,MEDIAN('planning '!$J367,F$2,F$1)-MEDIAN('planning '!$H367,F$2,F$1),+('planning '!$J367&lt;'planning '!$H367)*(F$2-F$1)+MEDIAN('planning '!$J367,F$1,F$2)-MEDIAN('planning '!$H367,F$1,F$2)))-'planning '!AA367</f>
        <v>0</v>
      </c>
      <c r="G366" s="237"/>
      <c r="H366" s="235">
        <f>IF(OR('planning '!$H367="",'planning '!$J367=""),0,IF('planning '!$J367&gt;'planning '!$H367,MEDIAN('planning '!$J367,H$2,H$1)-MEDIAN('planning '!$H367,H$2,H$1),+('planning '!$J367&lt;'planning '!$H367)*(H$2-H$1)+MEDIAN('planning '!$J367,H$1,H$2)-MEDIAN('planning '!$H367,H$1,H$2)))</f>
        <v>0</v>
      </c>
      <c r="I366" s="237"/>
      <c r="J366" s="234">
        <f>IF(OR('planning '!$H367="",'planning '!$J367=""),0,IF('planning '!$J367&gt;'planning '!$H367,MEDIAN('planning '!$J367,J$2,J$1)-MEDIAN('planning '!$H367,J$2,J$1),+('planning '!$J367&lt;'planning '!$H367)*(J$2-J$1)+MEDIAN('planning '!$J367,J$1,J$2)-MEDIAN('planning '!$H367,J$1,J$2)))</f>
        <v>0.33333333333333337</v>
      </c>
      <c r="K366" s="237"/>
      <c r="M366" s="231" t="s">
        <v>111</v>
      </c>
      <c r="N366" s="261">
        <f t="shared" ref="N366:Q367" ca="1" si="72">SUMIF(OFFSET($C364:$C371,0,MATCH(N$10,$B$5:$H$5,0)-1,7,1),$K367,OFFSET($B364:$B370,0,MATCH(N$10,$B$5:$H$5,0)-1,7,1))</f>
        <v>0</v>
      </c>
      <c r="O366" s="261">
        <f t="shared" ca="1" si="72"/>
        <v>0</v>
      </c>
      <c r="P366" s="261">
        <f t="shared" ca="1" si="72"/>
        <v>0</v>
      </c>
      <c r="Q366" s="261">
        <f t="shared" ca="1" si="72"/>
        <v>0</v>
      </c>
    </row>
    <row r="367" spans="2:17" x14ac:dyDescent="0.25">
      <c r="B367" s="231" t="str">
        <f>'planning '!F368</f>
        <v>travail</v>
      </c>
      <c r="C367" s="232">
        <f t="shared" ref="C367:C370" si="73">C366+1</f>
        <v>44085</v>
      </c>
      <c r="D367" s="233"/>
      <c r="E367" s="240"/>
      <c r="F367" s="235">
        <f>IF(OR('planning '!$H368="",'planning '!$J368=""),0,IF('planning '!$J368&gt;'planning '!$H368,MEDIAN('planning '!$J368,F$2,F$1)-MEDIAN('planning '!$H368,F$2,F$1),+('planning '!$J368&lt;'planning '!$H368)*(F$2-F$1)+MEDIAN('planning '!$J368,F$1,F$2)-MEDIAN('planning '!$H368,F$1,F$2)))-'planning '!AA368</f>
        <v>0</v>
      </c>
      <c r="G367" s="237"/>
      <c r="H367" s="235">
        <f>IF(OR('planning '!$H368="",'planning '!$J368=""),0,IF('planning '!$J368&gt;'planning '!$H368,MEDIAN('planning '!$J368,H$2,H$1)-MEDIAN('planning '!$H368,H$2,H$1),+('planning '!$J368&lt;'planning '!$H368)*(H$2-H$1)+MEDIAN('planning '!$J368,H$1,H$2)-MEDIAN('planning '!$H368,H$1,H$2)))</f>
        <v>0</v>
      </c>
      <c r="I367" s="237"/>
      <c r="J367" s="234">
        <f>IF(OR('planning '!$H368="",'planning '!$J368=""),0,IF('planning '!$J368&gt;'planning '!$H368,MEDIAN('planning '!$J368,J$2,J$1)-MEDIAN('planning '!$H368,J$2,J$1),+('planning '!$J368&lt;'planning '!$H368)*(J$2-J$1)+MEDIAN('planning '!$J368,J$1,J$2)-MEDIAN('planning '!$H368,J$1,J$2)))</f>
        <v>0.33333333333333337</v>
      </c>
      <c r="K367" s="237"/>
      <c r="M367" s="231" t="s">
        <v>21</v>
      </c>
      <c r="N367" s="261">
        <f t="shared" ca="1" si="72"/>
        <v>0</v>
      </c>
      <c r="O367" s="261">
        <f t="shared" ca="1" si="72"/>
        <v>0</v>
      </c>
      <c r="P367" s="261">
        <f t="shared" ca="1" si="72"/>
        <v>0</v>
      </c>
      <c r="Q367" s="261">
        <f t="shared" ca="1" si="72"/>
        <v>0</v>
      </c>
    </row>
    <row r="368" spans="2:17" x14ac:dyDescent="0.25">
      <c r="B368" s="231" t="str">
        <f>'planning '!F369</f>
        <v>travail</v>
      </c>
      <c r="C368" s="232">
        <f t="shared" si="73"/>
        <v>44086</v>
      </c>
      <c r="D368" s="233"/>
      <c r="E368" s="240"/>
      <c r="F368" s="235">
        <f>IF(OR('planning '!$H369="",'planning '!$J369=""),0,IF('planning '!$J369&gt;'planning '!$H369,MEDIAN('planning '!$J369,F$2,F$1)-MEDIAN('planning '!$H369,F$2,F$1),+('planning '!$J369&lt;'planning '!$H369)*(F$2-F$1)+MEDIAN('planning '!$J369,F$1,F$2)-MEDIAN('planning '!$H369,F$1,F$2)))-'planning '!AA369</f>
        <v>0</v>
      </c>
      <c r="G368" s="237"/>
      <c r="H368" s="235">
        <f>IF(OR('planning '!$H369="",'planning '!$J369=""),0,IF('planning '!$J369&gt;'planning '!$H369,MEDIAN('planning '!$J369,H$2,H$1)-MEDIAN('planning '!$H369,H$2,H$1),+('planning '!$J369&lt;'planning '!$H369)*(H$2-H$1)+MEDIAN('planning '!$J369,H$1,H$2)-MEDIAN('planning '!$H369,H$1,H$2)))</f>
        <v>0</v>
      </c>
      <c r="I368" s="237"/>
      <c r="J368" s="234">
        <f>IF(OR('planning '!$H369="",'planning '!$J369=""),0,IF('planning '!$J369&gt;'planning '!$H369,MEDIAN('planning '!$J369,J$2,J$1)-MEDIAN('planning '!$H369,J$2,J$1),+('planning '!$J369&lt;'planning '!$H369)*(J$2-J$1)+MEDIAN('planning '!$J369,J$1,J$2)-MEDIAN('planning '!$H369,J$1,J$2)))</f>
        <v>0.33333333333333337</v>
      </c>
      <c r="K368" s="237"/>
      <c r="M368" s="17"/>
      <c r="N368" s="17"/>
      <c r="O368" s="17"/>
      <c r="P368" s="17"/>
      <c r="Q368" s="17"/>
    </row>
    <row r="369" spans="2:17" x14ac:dyDescent="0.25">
      <c r="B369" s="231" t="str">
        <f>'planning '!F370</f>
        <v>off</v>
      </c>
      <c r="C369" s="232">
        <f t="shared" si="73"/>
        <v>44087</v>
      </c>
      <c r="D369" s="233">
        <f>IF(OR('planning '!$H370="",'planning '!$J370=""),0,IF('planning '!$J370&gt;'planning '!$H370,MEDIAN('planning '!$J370,D$2,D$1)-MEDIAN('planning '!$H370,D$2,D$1),+('planning '!$J370&lt;'planning '!$H370)*(D$2-D$1)+MEDIAN('planning '!$J370,D$1,D$2)-MEDIAN('planning '!$H370,D$1,D$2)))-'planning '!V370</f>
        <v>0</v>
      </c>
      <c r="E369" s="240"/>
      <c r="F369" s="235">
        <f>IF(OR('planning '!$H370="",'planning '!$J370=""),0,IF('planning '!$J370&gt;'planning '!$H370,MEDIAN('planning '!$J370,F$2,F$1)-MEDIAN('planning '!$H370,F$2,F$1),+('planning '!$J370&lt;'planning '!$H370)*(F$2-F$1)+MEDIAN('planning '!$J370,F$1,F$2)-MEDIAN('planning '!$H370,F$1,F$2)))-'planning '!AA370</f>
        <v>0</v>
      </c>
      <c r="G369" s="237"/>
      <c r="H369" s="235">
        <f>IF(OR('planning '!$H370="",'planning '!$J370=""),0,IF('planning '!$J370&gt;'planning '!$H370,MEDIAN('planning '!$J370,H$2,H$1)-MEDIAN('planning '!$H370,H$2,H$1),+('planning '!$J370&lt;'planning '!$H370)*(H$2-H$1)+MEDIAN('planning '!$J370,H$1,H$2)-MEDIAN('planning '!$H370,H$1,H$2)))</f>
        <v>0</v>
      </c>
      <c r="I369" s="237"/>
      <c r="J369" s="234">
        <f>IF(OR('planning '!$H370="",'planning '!$J370=""),0,IF('planning '!$J370&gt;'planning '!$H370,MEDIAN('planning '!$J370,J$2,J$1)-MEDIAN('planning '!$H370,J$2,J$1),+('planning '!$J370&lt;'planning '!$H370)*(J$2-J$1)+MEDIAN('planning '!$J370,J$1,J$2)-MEDIAN('planning '!$H370,J$1,J$2)))</f>
        <v>0</v>
      </c>
      <c r="K369" s="237"/>
      <c r="M369" s="17"/>
      <c r="N369" s="17"/>
      <c r="O369" s="17"/>
      <c r="P369" s="17"/>
      <c r="Q369" s="17"/>
    </row>
    <row r="370" spans="2:17" ht="15.75" thickBot="1" x14ac:dyDescent="0.3">
      <c r="B370" s="231" t="str">
        <f>'planning '!F371</f>
        <v>off</v>
      </c>
      <c r="C370" s="232">
        <f t="shared" si="73"/>
        <v>44088</v>
      </c>
      <c r="D370" s="233">
        <f>IF(OR('planning '!$H371="",'planning '!$J371=""),0,IF('planning '!$J371&gt;'planning '!$H371,MEDIAN('planning '!$J371,D$2,D$1)-MEDIAN('planning '!$H371,D$2,D$1),+('planning '!$J371&lt;'planning '!$H371)*(D$2-D$1)+MEDIAN('planning '!$J371,D$1,D$2)-MEDIAN('planning '!$H371,D$1,D$2)))-'planning '!V371</f>
        <v>0</v>
      </c>
      <c r="E370" s="241"/>
      <c r="F370" s="235">
        <f>IF(OR('planning '!$H371="",'planning '!$J371=""),0,IF('planning '!$J371&gt;'planning '!$H371,MEDIAN('planning '!$J371,F$2,F$1)-MEDIAN('planning '!$H371,F$2,F$1),+('planning '!$J371&lt;'planning '!$H371)*(F$2-F$1)+MEDIAN('planning '!$J371,F$1,F$2)-MEDIAN('planning '!$H371,F$1,F$2)))-'planning '!AA371</f>
        <v>0</v>
      </c>
      <c r="G370" s="238"/>
      <c r="H370" s="235">
        <f>IF(OR('planning '!$H371="",'planning '!$J371=""),0,IF('planning '!$J371&gt;'planning '!$H371,MEDIAN('planning '!$J371,H$2,H$1)-MEDIAN('planning '!$H371,H$2,H$1),+('planning '!$J371&lt;'planning '!$H371)*(H$2-H$1)+MEDIAN('planning '!$J371,H$1,H$2)-MEDIAN('planning '!$H371,H$1,H$2)))</f>
        <v>0</v>
      </c>
      <c r="I370" s="238"/>
      <c r="J370" s="234">
        <f>IF(OR('planning '!$H371="",'planning '!$J371=""),0,IF('planning '!$J371&gt;'planning '!$H371,MEDIAN('planning '!$J371,J$2,J$1)-MEDIAN('planning '!$H371,J$2,J$1),+('planning '!$J371&lt;'planning '!$H371)*(J$2-J$1)+MEDIAN('planning '!$J371,J$1,J$2)-MEDIAN('planning '!$H371,J$1,J$2)))</f>
        <v>0</v>
      </c>
      <c r="K370" s="238"/>
      <c r="M370" s="17"/>
      <c r="N370" s="17"/>
      <c r="O370" s="17"/>
      <c r="P370" s="17"/>
      <c r="Q370" s="17"/>
    </row>
    <row r="371" spans="2:17" x14ac:dyDescent="0.25">
      <c r="M371" s="17"/>
      <c r="N371" s="17"/>
      <c r="O371" s="17"/>
      <c r="P371" s="17"/>
      <c r="Q371" s="17"/>
    </row>
    <row r="372" spans="2:17" x14ac:dyDescent="0.25">
      <c r="M372" s="17"/>
      <c r="N372" s="17"/>
      <c r="O372" s="17"/>
      <c r="P372" s="17"/>
      <c r="Q372" s="17"/>
    </row>
    <row r="373" spans="2:17" ht="15.75" thickBot="1" x14ac:dyDescent="0.3">
      <c r="M373" s="17"/>
      <c r="N373" s="17"/>
      <c r="O373" s="17"/>
      <c r="P373" s="17"/>
      <c r="Q373" s="17"/>
    </row>
    <row r="374" spans="2:17" x14ac:dyDescent="0.25">
      <c r="B374" s="231" t="str">
        <f>'planning '!F375</f>
        <v>travail</v>
      </c>
      <c r="C374" s="232">
        <f>'planning '!E375</f>
        <v>44089</v>
      </c>
      <c r="D374" s="233"/>
      <c r="E374" s="239"/>
      <c r="F374" s="235">
        <f>IF(OR('planning '!$H375="",'planning '!$J375=""),0,IF('planning '!$J375&gt;'planning '!$H375,MEDIAN('planning '!$J375,F$2,F$1)-MEDIAN('planning '!$H375,F$2,F$1),+('planning '!$J375&lt;'planning '!$H375)*(F$2-F$1)+MEDIAN('planning '!$J375,F$1,F$2)-MEDIAN('planning '!$H375,F$1,F$2)))-'planning '!AA375</f>
        <v>0</v>
      </c>
      <c r="G374" s="236"/>
      <c r="H374" s="235">
        <f>IF(OR('planning '!$H375="",'planning '!$J375=""),0,IF('planning '!$J375&gt;'planning '!$H375,MEDIAN('planning '!$J375,H$2,H$1)-MEDIAN('planning '!$H375,H$2,H$1),+('planning '!$J375&lt;'planning '!$H375)*(H$2-H$1)+MEDIAN('planning '!$J375,H$1,H$2)-MEDIAN('planning '!$H375,H$1,H$2)))</f>
        <v>0</v>
      </c>
      <c r="I374" s="236"/>
      <c r="J374" s="234">
        <f>IF(OR('planning '!$H375="",'planning '!$J375=""),0,IF('planning '!$J375&gt;'planning '!$H375,MEDIAN('planning '!$J375,J$2,J$1)-MEDIAN('planning '!$H375,J$2,J$1),+('planning '!$J375&lt;'planning '!$H375)*(J$2-J$1)+MEDIAN('planning '!$J375,J$1,J$2)-MEDIAN('planning '!$H375,J$1,J$2)))</f>
        <v>0.33333333333333337</v>
      </c>
      <c r="K374" s="236"/>
      <c r="M374" s="17"/>
      <c r="N374" s="264"/>
      <c r="O374" s="265" t="s">
        <v>114</v>
      </c>
      <c r="P374" s="266"/>
      <c r="Q374" s="17"/>
    </row>
    <row r="375" spans="2:17" x14ac:dyDescent="0.25">
      <c r="B375" s="231" t="str">
        <f>'planning '!F376</f>
        <v>travail</v>
      </c>
      <c r="C375" s="232">
        <f>C374+1</f>
        <v>44090</v>
      </c>
      <c r="D375" s="233"/>
      <c r="E375" s="240"/>
      <c r="F375" s="235">
        <f>IF(OR('planning '!$H376="",'planning '!$J376=""),0,IF('planning '!$J376&gt;'planning '!$H376,MEDIAN('planning '!$J376,F$2,F$1)-MEDIAN('planning '!$H376,F$2,F$1),+('planning '!$J376&lt;'planning '!$H376)*(F$2-F$1)+MEDIAN('planning '!$J376,F$1,F$2)-MEDIAN('planning '!$H376,F$1,F$2)))-'planning '!AA376</f>
        <v>0</v>
      </c>
      <c r="G375" s="237"/>
      <c r="H375" s="235">
        <f>IF(OR('planning '!$H376="",'planning '!$J376=""),0,IF('planning '!$J376&gt;'planning '!$H376,MEDIAN('planning '!$J376,H$2,H$1)-MEDIAN('planning '!$H376,H$2,H$1),+('planning '!$J376&lt;'planning '!$H376)*(H$2-H$1)+MEDIAN('planning '!$J376,H$1,H$2)-MEDIAN('planning '!$H376,H$1,H$2)))</f>
        <v>0</v>
      </c>
      <c r="I375" s="237"/>
      <c r="J375" s="234">
        <f>IF(OR('planning '!$H376="",'planning '!$J376=""),0,IF('planning '!$J376&gt;'planning '!$H376,MEDIAN('planning '!$J376,J$2,J$1)-MEDIAN('planning '!$H376,J$2,J$1),+('planning '!$J376&lt;'planning '!$H376)*(J$2-J$1)+MEDIAN('planning '!$J376,J$1,J$2)-MEDIAN('planning '!$H376,J$1,J$2)))</f>
        <v>0.33333333333333337</v>
      </c>
      <c r="K375" s="237"/>
      <c r="M375" s="17"/>
      <c r="N375" s="263" t="s">
        <v>117</v>
      </c>
      <c r="O375" s="263" t="s">
        <v>115</v>
      </c>
      <c r="P375" s="263" t="s">
        <v>116</v>
      </c>
      <c r="Q375" s="243" t="s">
        <v>118</v>
      </c>
    </row>
    <row r="376" spans="2:17" x14ac:dyDescent="0.25">
      <c r="B376" s="231" t="str">
        <f>'planning '!F377</f>
        <v>travail</v>
      </c>
      <c r="C376" s="232">
        <f>C375+1</f>
        <v>44091</v>
      </c>
      <c r="D376" s="233"/>
      <c r="E376" s="240"/>
      <c r="F376" s="235">
        <f>IF(OR('planning '!$H377="",'planning '!$J377=""),0,IF('planning '!$J377&gt;'planning '!$H377,MEDIAN('planning '!$J377,F$2,F$1)-MEDIAN('planning '!$H377,F$2,F$1),+('planning '!$J377&lt;'planning '!$H377)*(F$2-F$1)+MEDIAN('planning '!$J377,F$1,F$2)-MEDIAN('planning '!$H377,F$1,F$2)))-'planning '!AA377</f>
        <v>0</v>
      </c>
      <c r="G376" s="237"/>
      <c r="H376" s="235">
        <f>IF(OR('planning '!$H377="",'planning '!$J377=""),0,IF('planning '!$J377&gt;'planning '!$H377,MEDIAN('planning '!$J377,H$2,H$1)-MEDIAN('planning '!$H377,H$2,H$1),+('planning '!$J377&lt;'planning '!$H377)*(H$2-H$1)+MEDIAN('planning '!$J377,H$1,H$2)-MEDIAN('planning '!$H377,H$1,H$2)))</f>
        <v>0</v>
      </c>
      <c r="I376" s="237"/>
      <c r="J376" s="234">
        <f>IF(OR('planning '!$H377="",'planning '!$J377=""),0,IF('planning '!$J377&gt;'planning '!$H377,MEDIAN('planning '!$J377,J$2,J$1)-MEDIAN('planning '!$H377,J$2,J$1),+('planning '!$J377&lt;'planning '!$H377)*(J$2-J$1)+MEDIAN('planning '!$J377,J$1,J$2)-MEDIAN('planning '!$H377,J$1,J$2)))</f>
        <v>0.33333333333333337</v>
      </c>
      <c r="K376" s="237"/>
      <c r="M376" s="231" t="s">
        <v>111</v>
      </c>
      <c r="N376" s="261">
        <f t="shared" ref="N376:Q377" ca="1" si="74">SUMIF(OFFSET($C374:$C381,0,MATCH(N$10,$B$5:$H$5,0)-1,7,1),$K377,OFFSET($B374:$B380,0,MATCH(N$10,$B$5:$H$5,0)-1,7,1))</f>
        <v>0</v>
      </c>
      <c r="O376" s="261">
        <f t="shared" ca="1" si="74"/>
        <v>0</v>
      </c>
      <c r="P376" s="261">
        <f t="shared" ca="1" si="74"/>
        <v>0</v>
      </c>
      <c r="Q376" s="261">
        <f t="shared" ca="1" si="74"/>
        <v>0</v>
      </c>
    </row>
    <row r="377" spans="2:17" x14ac:dyDescent="0.25">
      <c r="B377" s="231" t="str">
        <f>'planning '!F378</f>
        <v>travail</v>
      </c>
      <c r="C377" s="232">
        <f t="shared" ref="C377:C380" si="75">C376+1</f>
        <v>44092</v>
      </c>
      <c r="D377" s="233"/>
      <c r="E377" s="240"/>
      <c r="F377" s="235">
        <f>IF(OR('planning '!$H378="",'planning '!$J378=""),0,IF('planning '!$J378&gt;'planning '!$H378,MEDIAN('planning '!$J378,F$2,F$1)-MEDIAN('planning '!$H378,F$2,F$1),+('planning '!$J378&lt;'planning '!$H378)*(F$2-F$1)+MEDIAN('planning '!$J378,F$1,F$2)-MEDIAN('planning '!$H378,F$1,F$2)))-'planning '!AA378</f>
        <v>0</v>
      </c>
      <c r="G377" s="237"/>
      <c r="H377" s="235">
        <f>IF(OR('planning '!$H378="",'planning '!$J378=""),0,IF('planning '!$J378&gt;'planning '!$H378,MEDIAN('planning '!$J378,H$2,H$1)-MEDIAN('planning '!$H378,H$2,H$1),+('planning '!$J378&lt;'planning '!$H378)*(H$2-H$1)+MEDIAN('planning '!$J378,H$1,H$2)-MEDIAN('planning '!$H378,H$1,H$2)))</f>
        <v>0</v>
      </c>
      <c r="I377" s="237"/>
      <c r="J377" s="234">
        <f>IF(OR('planning '!$H378="",'planning '!$J378=""),0,IF('planning '!$J378&gt;'planning '!$H378,MEDIAN('planning '!$J378,J$2,J$1)-MEDIAN('planning '!$H378,J$2,J$1),+('planning '!$J378&lt;'planning '!$H378)*(J$2-J$1)+MEDIAN('planning '!$J378,J$1,J$2)-MEDIAN('planning '!$H378,J$1,J$2)))</f>
        <v>0.33333333333333337</v>
      </c>
      <c r="K377" s="237"/>
      <c r="M377" s="231" t="s">
        <v>21</v>
      </c>
      <c r="N377" s="261">
        <f t="shared" ca="1" si="74"/>
        <v>0</v>
      </c>
      <c r="O377" s="261">
        <f t="shared" ca="1" si="74"/>
        <v>0</v>
      </c>
      <c r="P377" s="261">
        <f t="shared" ca="1" si="74"/>
        <v>0</v>
      </c>
      <c r="Q377" s="261">
        <f t="shared" ca="1" si="74"/>
        <v>0</v>
      </c>
    </row>
    <row r="378" spans="2:17" x14ac:dyDescent="0.25">
      <c r="B378" s="231" t="str">
        <f>'planning '!F379</f>
        <v>travail</v>
      </c>
      <c r="C378" s="232">
        <f t="shared" si="75"/>
        <v>44093</v>
      </c>
      <c r="D378" s="233"/>
      <c r="E378" s="240"/>
      <c r="F378" s="235">
        <f>IF(OR('planning '!$H379="",'planning '!$J379=""),0,IF('planning '!$J379&gt;'planning '!$H379,MEDIAN('planning '!$J379,F$2,F$1)-MEDIAN('planning '!$H379,F$2,F$1),+('planning '!$J379&lt;'planning '!$H379)*(F$2-F$1)+MEDIAN('planning '!$J379,F$1,F$2)-MEDIAN('planning '!$H379,F$1,F$2)))-'planning '!AA379</f>
        <v>0</v>
      </c>
      <c r="G378" s="237"/>
      <c r="H378" s="235">
        <f>IF(OR('planning '!$H379="",'planning '!$J379=""),0,IF('planning '!$J379&gt;'planning '!$H379,MEDIAN('planning '!$J379,H$2,H$1)-MEDIAN('planning '!$H379,H$2,H$1),+('planning '!$J379&lt;'planning '!$H379)*(H$2-H$1)+MEDIAN('planning '!$J379,H$1,H$2)-MEDIAN('planning '!$H379,H$1,H$2)))</f>
        <v>0</v>
      </c>
      <c r="I378" s="237"/>
      <c r="J378" s="234">
        <f>IF(OR('planning '!$H379="",'planning '!$J379=""),0,IF('planning '!$J379&gt;'planning '!$H379,MEDIAN('planning '!$J379,J$2,J$1)-MEDIAN('planning '!$H379,J$2,J$1),+('planning '!$J379&lt;'planning '!$H379)*(J$2-J$1)+MEDIAN('planning '!$J379,J$1,J$2)-MEDIAN('planning '!$H379,J$1,J$2)))</f>
        <v>0.33333333333333337</v>
      </c>
      <c r="K378" s="237"/>
      <c r="M378" s="17"/>
      <c r="N378" s="17"/>
      <c r="O378" s="17"/>
      <c r="P378" s="17"/>
      <c r="Q378" s="17"/>
    </row>
    <row r="379" spans="2:17" x14ac:dyDescent="0.25">
      <c r="B379" s="231" t="str">
        <f>'planning '!F380</f>
        <v>off</v>
      </c>
      <c r="C379" s="232">
        <f t="shared" si="75"/>
        <v>44094</v>
      </c>
      <c r="D379" s="233">
        <f>IF(OR('planning '!$H380="",'planning '!$J380=""),0,IF('planning '!$J380&gt;'planning '!$H380,MEDIAN('planning '!$J380,D$2,D$1)-MEDIAN('planning '!$H380,D$2,D$1),+('planning '!$J380&lt;'planning '!$H380)*(D$2-D$1)+MEDIAN('planning '!$J380,D$1,D$2)-MEDIAN('planning '!$H380,D$1,D$2)))-'planning '!V380</f>
        <v>0</v>
      </c>
      <c r="E379" s="240"/>
      <c r="F379" s="235">
        <f>IF(OR('planning '!$H380="",'planning '!$J380=""),0,IF('planning '!$J380&gt;'planning '!$H380,MEDIAN('planning '!$J380,F$2,F$1)-MEDIAN('planning '!$H380,F$2,F$1),+('planning '!$J380&lt;'planning '!$H380)*(F$2-F$1)+MEDIAN('planning '!$J380,F$1,F$2)-MEDIAN('planning '!$H380,F$1,F$2)))-'planning '!AA380</f>
        <v>0</v>
      </c>
      <c r="G379" s="237"/>
      <c r="H379" s="235">
        <f>IF(OR('planning '!$H380="",'planning '!$J380=""),0,IF('planning '!$J380&gt;'planning '!$H380,MEDIAN('planning '!$J380,H$2,H$1)-MEDIAN('planning '!$H380,H$2,H$1),+('planning '!$J380&lt;'planning '!$H380)*(H$2-H$1)+MEDIAN('planning '!$J380,H$1,H$2)-MEDIAN('planning '!$H380,H$1,H$2)))</f>
        <v>0</v>
      </c>
      <c r="I379" s="237"/>
      <c r="J379" s="234">
        <f>IF(OR('planning '!$H380="",'planning '!$J380=""),0,IF('planning '!$J380&gt;'planning '!$H380,MEDIAN('planning '!$J380,J$2,J$1)-MEDIAN('planning '!$H380,J$2,J$1),+('planning '!$J380&lt;'planning '!$H380)*(J$2-J$1)+MEDIAN('planning '!$J380,J$1,J$2)-MEDIAN('planning '!$H380,J$1,J$2)))</f>
        <v>0</v>
      </c>
      <c r="K379" s="237"/>
      <c r="M379" s="17"/>
      <c r="N379" s="17"/>
      <c r="O379" s="17"/>
      <c r="P379" s="17"/>
      <c r="Q379" s="17"/>
    </row>
    <row r="380" spans="2:17" ht="15.75" thickBot="1" x14ac:dyDescent="0.3">
      <c r="B380" s="231" t="str">
        <f>'planning '!F381</f>
        <v>off</v>
      </c>
      <c r="C380" s="232">
        <f t="shared" si="75"/>
        <v>44095</v>
      </c>
      <c r="D380" s="233">
        <f>IF(OR('planning '!$H381="",'planning '!$J381=""),0,IF('planning '!$J381&gt;'planning '!$H381,MEDIAN('planning '!$J381,D$2,D$1)-MEDIAN('planning '!$H381,D$2,D$1),+('planning '!$J381&lt;'planning '!$H381)*(D$2-D$1)+MEDIAN('planning '!$J381,D$1,D$2)-MEDIAN('planning '!$H381,D$1,D$2)))-'planning '!V381</f>
        <v>0</v>
      </c>
      <c r="E380" s="241"/>
      <c r="F380" s="235">
        <f>IF(OR('planning '!$H381="",'planning '!$J381=""),0,IF('planning '!$J381&gt;'planning '!$H381,MEDIAN('planning '!$J381,F$2,F$1)-MEDIAN('planning '!$H381,F$2,F$1),+('planning '!$J381&lt;'planning '!$H381)*(F$2-F$1)+MEDIAN('planning '!$J381,F$1,F$2)-MEDIAN('planning '!$H381,F$1,F$2)))-'planning '!AA381</f>
        <v>0</v>
      </c>
      <c r="G380" s="238"/>
      <c r="H380" s="235">
        <f>IF(OR('planning '!$H381="",'planning '!$J381=""),0,IF('planning '!$J381&gt;'planning '!$H381,MEDIAN('planning '!$J381,H$2,H$1)-MEDIAN('planning '!$H381,H$2,H$1),+('planning '!$J381&lt;'planning '!$H381)*(H$2-H$1)+MEDIAN('planning '!$J381,H$1,H$2)-MEDIAN('planning '!$H381,H$1,H$2)))</f>
        <v>0</v>
      </c>
      <c r="I380" s="238"/>
      <c r="J380" s="234">
        <f>IF(OR('planning '!$H381="",'planning '!$J381=""),0,IF('planning '!$J381&gt;'planning '!$H381,MEDIAN('planning '!$J381,J$2,J$1)-MEDIAN('planning '!$H381,J$2,J$1),+('planning '!$J381&lt;'planning '!$H381)*(J$2-J$1)+MEDIAN('planning '!$J381,J$1,J$2)-MEDIAN('planning '!$H381,J$1,J$2)))</f>
        <v>0</v>
      </c>
      <c r="K380" s="238"/>
      <c r="M380" s="17"/>
      <c r="N380" s="17"/>
      <c r="O380" s="17"/>
      <c r="P380" s="17"/>
      <c r="Q380" s="17"/>
    </row>
    <row r="381" spans="2:17" x14ac:dyDescent="0.25">
      <c r="M381" s="17"/>
      <c r="N381" s="17"/>
      <c r="O381" s="17"/>
      <c r="P381" s="17"/>
      <c r="Q381" s="17"/>
    </row>
    <row r="382" spans="2:17" x14ac:dyDescent="0.25">
      <c r="M382" s="17"/>
      <c r="N382" s="17"/>
      <c r="O382" s="17"/>
      <c r="P382" s="17"/>
      <c r="Q382" s="17"/>
    </row>
    <row r="383" spans="2:17" ht="15.75" thickBot="1" x14ac:dyDescent="0.3">
      <c r="M383" s="17"/>
      <c r="N383" s="17"/>
      <c r="O383" s="17"/>
      <c r="P383" s="17"/>
      <c r="Q383" s="17"/>
    </row>
    <row r="384" spans="2:17" x14ac:dyDescent="0.25">
      <c r="B384" s="231" t="str">
        <f>'planning '!F385</f>
        <v>travail</v>
      </c>
      <c r="C384" s="232">
        <f>'planning '!E385</f>
        <v>44096</v>
      </c>
      <c r="D384" s="233"/>
      <c r="E384" s="239"/>
      <c r="F384" s="235">
        <f>IF(OR('planning '!$H385="",'planning '!$J385=""),0,IF('planning '!$J385&gt;'planning '!$H385,MEDIAN('planning '!$J385,F$2,F$1)-MEDIAN('planning '!$H385,F$2,F$1),+('planning '!$J385&lt;'planning '!$H385)*(F$2-F$1)+MEDIAN('planning '!$J385,F$1,F$2)-MEDIAN('planning '!$H385,F$1,F$2)))-'planning '!AA385</f>
        <v>0</v>
      </c>
      <c r="G384" s="236"/>
      <c r="H384" s="235">
        <f>IF(OR('planning '!$H385="",'planning '!$J385=""),0,IF('planning '!$J385&gt;'planning '!$H385,MEDIAN('planning '!$J385,H$2,H$1)-MEDIAN('planning '!$H385,H$2,H$1),+('planning '!$J385&lt;'planning '!$H385)*(H$2-H$1)+MEDIAN('planning '!$J385,H$1,H$2)-MEDIAN('planning '!$H385,H$1,H$2)))</f>
        <v>0</v>
      </c>
      <c r="I384" s="236"/>
      <c r="J384" s="234">
        <f>IF(OR('planning '!$H385="",'planning '!$J385=""),0,IF('planning '!$J385&gt;'planning '!$H385,MEDIAN('planning '!$J385,J$2,J$1)-MEDIAN('planning '!$H385,J$2,J$1),+('planning '!$J385&lt;'planning '!$H385)*(J$2-J$1)+MEDIAN('planning '!$J385,J$1,J$2)-MEDIAN('planning '!$H385,J$1,J$2)))</f>
        <v>0.33333333333333337</v>
      </c>
      <c r="K384" s="236"/>
      <c r="M384" s="17"/>
      <c r="N384" s="264"/>
      <c r="O384" s="265" t="s">
        <v>114</v>
      </c>
      <c r="P384" s="266"/>
      <c r="Q384" s="17"/>
    </row>
    <row r="385" spans="2:17" x14ac:dyDescent="0.25">
      <c r="B385" s="231" t="str">
        <f>'planning '!F386</f>
        <v>travail</v>
      </c>
      <c r="C385" s="232">
        <f>C384+1</f>
        <v>44097</v>
      </c>
      <c r="D385" s="233"/>
      <c r="E385" s="240"/>
      <c r="F385" s="235">
        <f>IF(OR('planning '!$H386="",'planning '!$J386=""),0,IF('planning '!$J386&gt;'planning '!$H386,MEDIAN('planning '!$J386,F$2,F$1)-MEDIAN('planning '!$H386,F$2,F$1),+('planning '!$J386&lt;'planning '!$H386)*(F$2-F$1)+MEDIAN('planning '!$J386,F$1,F$2)-MEDIAN('planning '!$H386,F$1,F$2)))-'planning '!AA386</f>
        <v>0</v>
      </c>
      <c r="G385" s="237"/>
      <c r="H385" s="235">
        <f>IF(OR('planning '!$H386="",'planning '!$J386=""),0,IF('planning '!$J386&gt;'planning '!$H386,MEDIAN('planning '!$J386,H$2,H$1)-MEDIAN('planning '!$H386,H$2,H$1),+('planning '!$J386&lt;'planning '!$H386)*(H$2-H$1)+MEDIAN('planning '!$J386,H$1,H$2)-MEDIAN('planning '!$H386,H$1,H$2)))</f>
        <v>0</v>
      </c>
      <c r="I385" s="237"/>
      <c r="J385" s="234">
        <f>IF(OR('planning '!$H386="",'planning '!$J386=""),0,IF('planning '!$J386&gt;'planning '!$H386,MEDIAN('planning '!$J386,J$2,J$1)-MEDIAN('planning '!$H386,J$2,J$1),+('planning '!$J386&lt;'planning '!$H386)*(J$2-J$1)+MEDIAN('planning '!$J386,J$1,J$2)-MEDIAN('planning '!$H386,J$1,J$2)))</f>
        <v>0.33333333333333337</v>
      </c>
      <c r="K385" s="237"/>
      <c r="M385" s="17"/>
      <c r="N385" s="263" t="s">
        <v>117</v>
      </c>
      <c r="O385" s="263" t="s">
        <v>115</v>
      </c>
      <c r="P385" s="263" t="s">
        <v>116</v>
      </c>
      <c r="Q385" s="243" t="s">
        <v>118</v>
      </c>
    </row>
    <row r="386" spans="2:17" x14ac:dyDescent="0.25">
      <c r="B386" s="231" t="str">
        <f>'planning '!F387</f>
        <v>travail</v>
      </c>
      <c r="C386" s="232">
        <f>C385+1</f>
        <v>44098</v>
      </c>
      <c r="D386" s="233"/>
      <c r="E386" s="240"/>
      <c r="F386" s="235">
        <f>IF(OR('planning '!$H387="",'planning '!$J387=""),0,IF('planning '!$J387&gt;'planning '!$H387,MEDIAN('planning '!$J387,F$2,F$1)-MEDIAN('planning '!$H387,F$2,F$1),+('planning '!$J387&lt;'planning '!$H387)*(F$2-F$1)+MEDIAN('planning '!$J387,F$1,F$2)-MEDIAN('planning '!$H387,F$1,F$2)))-'planning '!AA387</f>
        <v>0</v>
      </c>
      <c r="G386" s="237"/>
      <c r="H386" s="235">
        <f>IF(OR('planning '!$H387="",'planning '!$J387=""),0,IF('planning '!$J387&gt;'planning '!$H387,MEDIAN('planning '!$J387,H$2,H$1)-MEDIAN('planning '!$H387,H$2,H$1),+('planning '!$J387&lt;'planning '!$H387)*(H$2-H$1)+MEDIAN('planning '!$J387,H$1,H$2)-MEDIAN('planning '!$H387,H$1,H$2)))</f>
        <v>0</v>
      </c>
      <c r="I386" s="237"/>
      <c r="J386" s="234">
        <f>IF(OR('planning '!$H387="",'planning '!$J387=""),0,IF('planning '!$J387&gt;'planning '!$H387,MEDIAN('planning '!$J387,J$2,J$1)-MEDIAN('planning '!$H387,J$2,J$1),+('planning '!$J387&lt;'planning '!$H387)*(J$2-J$1)+MEDIAN('planning '!$J387,J$1,J$2)-MEDIAN('planning '!$H387,J$1,J$2)))</f>
        <v>0.33333333333333337</v>
      </c>
      <c r="K386" s="237"/>
      <c r="M386" s="231" t="s">
        <v>111</v>
      </c>
      <c r="N386" s="261">
        <f t="shared" ref="N386:Q387" ca="1" si="76">SUMIF(OFFSET($C384:$C391,0,MATCH(N$10,$B$5:$H$5,0)-1,7,1),$K387,OFFSET($B384:$B390,0,MATCH(N$10,$B$5:$H$5,0)-1,7,1))</f>
        <v>0</v>
      </c>
      <c r="O386" s="261">
        <f t="shared" ca="1" si="76"/>
        <v>0</v>
      </c>
      <c r="P386" s="261">
        <f t="shared" ca="1" si="76"/>
        <v>0</v>
      </c>
      <c r="Q386" s="261">
        <f t="shared" ca="1" si="76"/>
        <v>0</v>
      </c>
    </row>
    <row r="387" spans="2:17" x14ac:dyDescent="0.25">
      <c r="B387" s="231" t="str">
        <f>'planning '!F388</f>
        <v>travail</v>
      </c>
      <c r="C387" s="232">
        <f t="shared" ref="C387:C390" si="77">C386+1</f>
        <v>44099</v>
      </c>
      <c r="D387" s="233"/>
      <c r="E387" s="240"/>
      <c r="F387" s="235">
        <f>IF(OR('planning '!$H388="",'planning '!$J388=""),0,IF('planning '!$J388&gt;'planning '!$H388,MEDIAN('planning '!$J388,F$2,F$1)-MEDIAN('planning '!$H388,F$2,F$1),+('planning '!$J388&lt;'planning '!$H388)*(F$2-F$1)+MEDIAN('planning '!$J388,F$1,F$2)-MEDIAN('planning '!$H388,F$1,F$2)))-'planning '!AA388</f>
        <v>0</v>
      </c>
      <c r="G387" s="237"/>
      <c r="H387" s="235">
        <f>IF(OR('planning '!$H388="",'planning '!$J388=""),0,IF('planning '!$J388&gt;'planning '!$H388,MEDIAN('planning '!$J388,H$2,H$1)-MEDIAN('planning '!$H388,H$2,H$1),+('planning '!$J388&lt;'planning '!$H388)*(H$2-H$1)+MEDIAN('planning '!$J388,H$1,H$2)-MEDIAN('planning '!$H388,H$1,H$2)))</f>
        <v>0</v>
      </c>
      <c r="I387" s="237"/>
      <c r="J387" s="234">
        <f>IF(OR('planning '!$H388="",'planning '!$J388=""),0,IF('planning '!$J388&gt;'planning '!$H388,MEDIAN('planning '!$J388,J$2,J$1)-MEDIAN('planning '!$H388,J$2,J$1),+('planning '!$J388&lt;'planning '!$H388)*(J$2-J$1)+MEDIAN('planning '!$J388,J$1,J$2)-MEDIAN('planning '!$H388,J$1,J$2)))</f>
        <v>0.33333333333333337</v>
      </c>
      <c r="K387" s="237"/>
      <c r="M387" s="231" t="s">
        <v>21</v>
      </c>
      <c r="N387" s="261">
        <f t="shared" ca="1" si="76"/>
        <v>0</v>
      </c>
      <c r="O387" s="261">
        <f t="shared" ca="1" si="76"/>
        <v>0</v>
      </c>
      <c r="P387" s="261">
        <f t="shared" ca="1" si="76"/>
        <v>0</v>
      </c>
      <c r="Q387" s="261">
        <f t="shared" ca="1" si="76"/>
        <v>0</v>
      </c>
    </row>
    <row r="388" spans="2:17" x14ac:dyDescent="0.25">
      <c r="B388" s="231" t="str">
        <f>'planning '!F389</f>
        <v>travail</v>
      </c>
      <c r="C388" s="232">
        <f t="shared" si="77"/>
        <v>44100</v>
      </c>
      <c r="D388" s="233"/>
      <c r="E388" s="240"/>
      <c r="F388" s="235">
        <f>IF(OR('planning '!$H389="",'planning '!$J389=""),0,IF('planning '!$J389&gt;'planning '!$H389,MEDIAN('planning '!$J389,F$2,F$1)-MEDIAN('planning '!$H389,F$2,F$1),+('planning '!$J389&lt;'planning '!$H389)*(F$2-F$1)+MEDIAN('planning '!$J389,F$1,F$2)-MEDIAN('planning '!$H389,F$1,F$2)))-'planning '!AA389</f>
        <v>0</v>
      </c>
      <c r="G388" s="237"/>
      <c r="H388" s="235">
        <f>IF(OR('planning '!$H389="",'planning '!$J389=""),0,IF('planning '!$J389&gt;'planning '!$H389,MEDIAN('planning '!$J389,H$2,H$1)-MEDIAN('planning '!$H389,H$2,H$1),+('planning '!$J389&lt;'planning '!$H389)*(H$2-H$1)+MEDIAN('planning '!$J389,H$1,H$2)-MEDIAN('planning '!$H389,H$1,H$2)))</f>
        <v>0</v>
      </c>
      <c r="I388" s="237"/>
      <c r="J388" s="234">
        <f>IF(OR('planning '!$H389="",'planning '!$J389=""),0,IF('planning '!$J389&gt;'planning '!$H389,MEDIAN('planning '!$J389,J$2,J$1)-MEDIAN('planning '!$H389,J$2,J$1),+('planning '!$J389&lt;'planning '!$H389)*(J$2-J$1)+MEDIAN('planning '!$J389,J$1,J$2)-MEDIAN('planning '!$H389,J$1,J$2)))</f>
        <v>0.33333333333333337</v>
      </c>
      <c r="K388" s="237"/>
      <c r="M388" s="17"/>
      <c r="N388" s="17"/>
      <c r="O388" s="17"/>
      <c r="P388" s="17"/>
      <c r="Q388" s="17"/>
    </row>
    <row r="389" spans="2:17" x14ac:dyDescent="0.25">
      <c r="B389" s="231" t="str">
        <f>'planning '!F390</f>
        <v>off</v>
      </c>
      <c r="C389" s="232">
        <f t="shared" si="77"/>
        <v>44101</v>
      </c>
      <c r="D389" s="233">
        <f>IF(OR('planning '!$H390="",'planning '!$J390=""),0,IF('planning '!$J390&gt;'planning '!$H390,MEDIAN('planning '!$J390,D$2,D$1)-MEDIAN('planning '!$H390,D$2,D$1),+('planning '!$J390&lt;'planning '!$H390)*(D$2-D$1)+MEDIAN('planning '!$J390,D$1,D$2)-MEDIAN('planning '!$H390,D$1,D$2)))-'planning '!V390</f>
        <v>0</v>
      </c>
      <c r="E389" s="240"/>
      <c r="F389" s="235">
        <f>IF(OR('planning '!$H390="",'planning '!$J390=""),0,IF('planning '!$J390&gt;'planning '!$H390,MEDIAN('planning '!$J390,F$2,F$1)-MEDIAN('planning '!$H390,F$2,F$1),+('planning '!$J390&lt;'planning '!$H390)*(F$2-F$1)+MEDIAN('planning '!$J390,F$1,F$2)-MEDIAN('planning '!$H390,F$1,F$2)))-'planning '!AA390</f>
        <v>0</v>
      </c>
      <c r="G389" s="237"/>
      <c r="H389" s="235">
        <f>IF(OR('planning '!$H390="",'planning '!$J390=""),0,IF('planning '!$J390&gt;'planning '!$H390,MEDIAN('planning '!$J390,H$2,H$1)-MEDIAN('planning '!$H390,H$2,H$1),+('planning '!$J390&lt;'planning '!$H390)*(H$2-H$1)+MEDIAN('planning '!$J390,H$1,H$2)-MEDIAN('planning '!$H390,H$1,H$2)))</f>
        <v>0</v>
      </c>
      <c r="I389" s="237"/>
      <c r="J389" s="234">
        <f>IF(OR('planning '!$H390="",'planning '!$J390=""),0,IF('planning '!$J390&gt;'planning '!$H390,MEDIAN('planning '!$J390,J$2,J$1)-MEDIAN('planning '!$H390,J$2,J$1),+('planning '!$J390&lt;'planning '!$H390)*(J$2-J$1)+MEDIAN('planning '!$J390,J$1,J$2)-MEDIAN('planning '!$H390,J$1,J$2)))</f>
        <v>0</v>
      </c>
      <c r="K389" s="237"/>
      <c r="M389" s="17"/>
      <c r="N389" s="17"/>
      <c r="O389" s="17"/>
      <c r="P389" s="17"/>
      <c r="Q389" s="17"/>
    </row>
    <row r="390" spans="2:17" ht="15.75" thickBot="1" x14ac:dyDescent="0.3">
      <c r="B390" s="231" t="str">
        <f>'planning '!F391</f>
        <v>off</v>
      </c>
      <c r="C390" s="232">
        <f t="shared" si="77"/>
        <v>44102</v>
      </c>
      <c r="D390" s="233">
        <f>IF(OR('planning '!$H391="",'planning '!$J391=""),0,IF('planning '!$J391&gt;'planning '!$H391,MEDIAN('planning '!$J391,D$2,D$1)-MEDIAN('planning '!$H391,D$2,D$1),+('planning '!$J391&lt;'planning '!$H391)*(D$2-D$1)+MEDIAN('planning '!$J391,D$1,D$2)-MEDIAN('planning '!$H391,D$1,D$2)))-'planning '!V391</f>
        <v>0</v>
      </c>
      <c r="E390" s="241"/>
      <c r="F390" s="235">
        <f>IF(OR('planning '!$H391="",'planning '!$J391=""),0,IF('planning '!$J391&gt;'planning '!$H391,MEDIAN('planning '!$J391,F$2,F$1)-MEDIAN('planning '!$H391,F$2,F$1),+('planning '!$J391&lt;'planning '!$H391)*(F$2-F$1)+MEDIAN('planning '!$J391,F$1,F$2)-MEDIAN('planning '!$H391,F$1,F$2)))-'planning '!AA391</f>
        <v>0</v>
      </c>
      <c r="G390" s="238"/>
      <c r="H390" s="235">
        <f>IF(OR('planning '!$H391="",'planning '!$J391=""),0,IF('planning '!$J391&gt;'planning '!$H391,MEDIAN('planning '!$J391,H$2,H$1)-MEDIAN('planning '!$H391,H$2,H$1),+('planning '!$J391&lt;'planning '!$H391)*(H$2-H$1)+MEDIAN('planning '!$J391,H$1,H$2)-MEDIAN('planning '!$H391,H$1,H$2)))</f>
        <v>0</v>
      </c>
      <c r="I390" s="238"/>
      <c r="J390" s="234">
        <f>IF(OR('planning '!$H391="",'planning '!$J391=""),0,IF('planning '!$J391&gt;'planning '!$H391,MEDIAN('planning '!$J391,J$2,J$1)-MEDIAN('planning '!$H391,J$2,J$1),+('planning '!$J391&lt;'planning '!$H391)*(J$2-J$1)+MEDIAN('planning '!$J391,J$1,J$2)-MEDIAN('planning '!$H391,J$1,J$2)))</f>
        <v>0</v>
      </c>
      <c r="K390" s="238"/>
      <c r="M390" s="17"/>
      <c r="N390" s="17"/>
      <c r="O390" s="17"/>
      <c r="P390" s="17"/>
      <c r="Q390" s="17"/>
    </row>
    <row r="391" spans="2:17" x14ac:dyDescent="0.25">
      <c r="M391" s="17"/>
      <c r="N391" s="17"/>
      <c r="O391" s="17"/>
      <c r="P391" s="17"/>
      <c r="Q391" s="17"/>
    </row>
    <row r="392" spans="2:17" x14ac:dyDescent="0.25">
      <c r="M392" s="17"/>
      <c r="N392" s="17"/>
      <c r="O392" s="17"/>
      <c r="P392" s="17"/>
      <c r="Q392" s="17"/>
    </row>
    <row r="393" spans="2:17" ht="15.75" thickBot="1" x14ac:dyDescent="0.3">
      <c r="M393" s="17"/>
      <c r="N393" s="17"/>
      <c r="O393" s="17"/>
      <c r="P393" s="17"/>
      <c r="Q393" s="17"/>
    </row>
    <row r="394" spans="2:17" x14ac:dyDescent="0.25">
      <c r="B394" s="231" t="str">
        <f>'planning '!F395</f>
        <v>travail</v>
      </c>
      <c r="C394" s="232">
        <f>'planning '!E395</f>
        <v>44103</v>
      </c>
      <c r="D394" s="233"/>
      <c r="E394" s="239"/>
      <c r="F394" s="235">
        <f>IF(OR('planning '!$H395="",'planning '!$J395=""),0,IF('planning '!$J395&gt;'planning '!$H395,MEDIAN('planning '!$J395,F$2,F$1)-MEDIAN('planning '!$H395,F$2,F$1),+('planning '!$J395&lt;'planning '!$H395)*(F$2-F$1)+MEDIAN('planning '!$J395,F$1,F$2)-MEDIAN('planning '!$H395,F$1,F$2)))-'planning '!AA395</f>
        <v>0</v>
      </c>
      <c r="G394" s="236"/>
      <c r="H394" s="235">
        <f>IF(OR('planning '!$H395="",'planning '!$J395=""),0,IF('planning '!$J395&gt;'planning '!$H395,MEDIAN('planning '!$J395,H$2,H$1)-MEDIAN('planning '!$H395,H$2,H$1),+('planning '!$J395&lt;'planning '!$H395)*(H$2-H$1)+MEDIAN('planning '!$J395,H$1,H$2)-MEDIAN('planning '!$H395,H$1,H$2)))</f>
        <v>0</v>
      </c>
      <c r="I394" s="236"/>
      <c r="J394" s="234">
        <f>IF(OR('planning '!$H395="",'planning '!$J395=""),0,IF('planning '!$J395&gt;'planning '!$H395,MEDIAN('planning '!$J395,J$2,J$1)-MEDIAN('planning '!$H395,J$2,J$1),+('planning '!$J395&lt;'planning '!$H395)*(J$2-J$1)+MEDIAN('planning '!$J395,J$1,J$2)-MEDIAN('planning '!$H395,J$1,J$2)))</f>
        <v>0.33333333333333337</v>
      </c>
      <c r="K394" s="236"/>
      <c r="M394" s="17"/>
      <c r="N394" s="264"/>
      <c r="O394" s="265" t="s">
        <v>114</v>
      </c>
      <c r="P394" s="266"/>
      <c r="Q394" s="17"/>
    </row>
    <row r="395" spans="2:17" x14ac:dyDescent="0.25">
      <c r="B395" s="231" t="str">
        <f>'planning '!F396</f>
        <v>travail</v>
      </c>
      <c r="C395" s="232">
        <f>C394+1</f>
        <v>44104</v>
      </c>
      <c r="D395" s="233"/>
      <c r="E395" s="240"/>
      <c r="F395" s="235">
        <f>IF(OR('planning '!$H396="",'planning '!$J396=""),0,IF('planning '!$J396&gt;'planning '!$H396,MEDIAN('planning '!$J396,F$2,F$1)-MEDIAN('planning '!$H396,F$2,F$1),+('planning '!$J396&lt;'planning '!$H396)*(F$2-F$1)+MEDIAN('planning '!$J396,F$1,F$2)-MEDIAN('planning '!$H396,F$1,F$2)))-'planning '!AA396</f>
        <v>0</v>
      </c>
      <c r="G395" s="237"/>
      <c r="H395" s="235">
        <f>IF(OR('planning '!$H396="",'planning '!$J396=""),0,IF('planning '!$J396&gt;'planning '!$H396,MEDIAN('planning '!$J396,H$2,H$1)-MEDIAN('planning '!$H396,H$2,H$1),+('planning '!$J396&lt;'planning '!$H396)*(H$2-H$1)+MEDIAN('planning '!$J396,H$1,H$2)-MEDIAN('planning '!$H396,H$1,H$2)))</f>
        <v>0</v>
      </c>
      <c r="I395" s="237"/>
      <c r="J395" s="234">
        <f>IF(OR('planning '!$H396="",'planning '!$J396=""),0,IF('planning '!$J396&gt;'planning '!$H396,MEDIAN('planning '!$J396,J$2,J$1)-MEDIAN('planning '!$H396,J$2,J$1),+('planning '!$J396&lt;'planning '!$H396)*(J$2-J$1)+MEDIAN('planning '!$J396,J$1,J$2)-MEDIAN('planning '!$H396,J$1,J$2)))</f>
        <v>0.33333333333333337</v>
      </c>
      <c r="K395" s="237"/>
      <c r="M395" s="17"/>
      <c r="N395" s="263" t="s">
        <v>117</v>
      </c>
      <c r="O395" s="263" t="s">
        <v>115</v>
      </c>
      <c r="P395" s="263" t="s">
        <v>116</v>
      </c>
      <c r="Q395" s="243" t="s">
        <v>118</v>
      </c>
    </row>
    <row r="396" spans="2:17" x14ac:dyDescent="0.25">
      <c r="B396" s="231" t="str">
        <f>'planning '!F397</f>
        <v>travail</v>
      </c>
      <c r="C396" s="232">
        <f>C395+1</f>
        <v>44105</v>
      </c>
      <c r="D396" s="233"/>
      <c r="E396" s="240"/>
      <c r="F396" s="235">
        <f>IF(OR('planning '!$H397="",'planning '!$J397=""),0,IF('planning '!$J397&gt;'planning '!$H397,MEDIAN('planning '!$J397,F$2,F$1)-MEDIAN('planning '!$H397,F$2,F$1),+('planning '!$J397&lt;'planning '!$H397)*(F$2-F$1)+MEDIAN('planning '!$J397,F$1,F$2)-MEDIAN('planning '!$H397,F$1,F$2)))-'planning '!AA397</f>
        <v>0</v>
      </c>
      <c r="G396" s="237"/>
      <c r="H396" s="235">
        <f>IF(OR('planning '!$H397="",'planning '!$J397=""),0,IF('planning '!$J397&gt;'planning '!$H397,MEDIAN('planning '!$J397,H$2,H$1)-MEDIAN('planning '!$H397,H$2,H$1),+('planning '!$J397&lt;'planning '!$H397)*(H$2-H$1)+MEDIAN('planning '!$J397,H$1,H$2)-MEDIAN('planning '!$H397,H$1,H$2)))</f>
        <v>0</v>
      </c>
      <c r="I396" s="237"/>
      <c r="J396" s="234">
        <f>IF(OR('planning '!$H397="",'planning '!$J397=""),0,IF('planning '!$J397&gt;'planning '!$H397,MEDIAN('planning '!$J397,J$2,J$1)-MEDIAN('planning '!$H397,J$2,J$1),+('planning '!$J397&lt;'planning '!$H397)*(J$2-J$1)+MEDIAN('planning '!$J397,J$1,J$2)-MEDIAN('planning '!$H397,J$1,J$2)))</f>
        <v>0.33333333333333337</v>
      </c>
      <c r="K396" s="237"/>
      <c r="M396" s="231" t="s">
        <v>111</v>
      </c>
      <c r="N396" s="261">
        <f t="shared" ref="N396:Q397" ca="1" si="78">SUMIF(OFFSET($C394:$C401,0,MATCH(N$10,$B$5:$H$5,0)-1,7,1),$K397,OFFSET($B394:$B400,0,MATCH(N$10,$B$5:$H$5,0)-1,7,1))</f>
        <v>0</v>
      </c>
      <c r="O396" s="261">
        <f t="shared" ca="1" si="78"/>
        <v>0</v>
      </c>
      <c r="P396" s="261">
        <f t="shared" ca="1" si="78"/>
        <v>0</v>
      </c>
      <c r="Q396" s="261">
        <f t="shared" ca="1" si="78"/>
        <v>0</v>
      </c>
    </row>
    <row r="397" spans="2:17" x14ac:dyDescent="0.25">
      <c r="B397" s="231" t="str">
        <f>'planning '!F398</f>
        <v>travail</v>
      </c>
      <c r="C397" s="232">
        <f t="shared" ref="C397:C400" si="79">C396+1</f>
        <v>44106</v>
      </c>
      <c r="D397" s="233"/>
      <c r="E397" s="240"/>
      <c r="F397" s="235">
        <f>IF(OR('planning '!$H398="",'planning '!$J398=""),0,IF('planning '!$J398&gt;'planning '!$H398,MEDIAN('planning '!$J398,F$2,F$1)-MEDIAN('planning '!$H398,F$2,F$1),+('planning '!$J398&lt;'planning '!$H398)*(F$2-F$1)+MEDIAN('planning '!$J398,F$1,F$2)-MEDIAN('planning '!$H398,F$1,F$2)))-'planning '!AA398</f>
        <v>0</v>
      </c>
      <c r="G397" s="237"/>
      <c r="H397" s="235">
        <f>IF(OR('planning '!$H398="",'planning '!$J398=""),0,IF('planning '!$J398&gt;'planning '!$H398,MEDIAN('planning '!$J398,H$2,H$1)-MEDIAN('planning '!$H398,H$2,H$1),+('planning '!$J398&lt;'planning '!$H398)*(H$2-H$1)+MEDIAN('planning '!$J398,H$1,H$2)-MEDIAN('planning '!$H398,H$1,H$2)))</f>
        <v>0</v>
      </c>
      <c r="I397" s="237"/>
      <c r="J397" s="234">
        <f>IF(OR('planning '!$H398="",'planning '!$J398=""),0,IF('planning '!$J398&gt;'planning '!$H398,MEDIAN('planning '!$J398,J$2,J$1)-MEDIAN('planning '!$H398,J$2,J$1),+('planning '!$J398&lt;'planning '!$H398)*(J$2-J$1)+MEDIAN('planning '!$J398,J$1,J$2)-MEDIAN('planning '!$H398,J$1,J$2)))</f>
        <v>0.33333333333333337</v>
      </c>
      <c r="K397" s="237"/>
      <c r="M397" s="231" t="s">
        <v>21</v>
      </c>
      <c r="N397" s="261">
        <f t="shared" ca="1" si="78"/>
        <v>0</v>
      </c>
      <c r="O397" s="261">
        <f t="shared" ca="1" si="78"/>
        <v>0</v>
      </c>
      <c r="P397" s="261">
        <f t="shared" ca="1" si="78"/>
        <v>0</v>
      </c>
      <c r="Q397" s="261">
        <f t="shared" ca="1" si="78"/>
        <v>0</v>
      </c>
    </row>
    <row r="398" spans="2:17" x14ac:dyDescent="0.25">
      <c r="B398" s="231" t="str">
        <f>'planning '!F399</f>
        <v>travail</v>
      </c>
      <c r="C398" s="232">
        <f t="shared" si="79"/>
        <v>44107</v>
      </c>
      <c r="D398" s="233"/>
      <c r="E398" s="240"/>
      <c r="F398" s="235">
        <f>IF(OR('planning '!$H399="",'planning '!$J399=""),0,IF('planning '!$J399&gt;'planning '!$H399,MEDIAN('planning '!$J399,F$2,F$1)-MEDIAN('planning '!$H399,F$2,F$1),+('planning '!$J399&lt;'planning '!$H399)*(F$2-F$1)+MEDIAN('planning '!$J399,F$1,F$2)-MEDIAN('planning '!$H399,F$1,F$2)))-'planning '!AA399</f>
        <v>0</v>
      </c>
      <c r="G398" s="237"/>
      <c r="H398" s="235">
        <f>IF(OR('planning '!$H399="",'planning '!$J399=""),0,IF('planning '!$J399&gt;'planning '!$H399,MEDIAN('planning '!$J399,H$2,H$1)-MEDIAN('planning '!$H399,H$2,H$1),+('planning '!$J399&lt;'planning '!$H399)*(H$2-H$1)+MEDIAN('planning '!$J399,H$1,H$2)-MEDIAN('planning '!$H399,H$1,H$2)))</f>
        <v>0</v>
      </c>
      <c r="I398" s="237"/>
      <c r="J398" s="234">
        <f>IF(OR('planning '!$H399="",'planning '!$J399=""),0,IF('planning '!$J399&gt;'planning '!$H399,MEDIAN('planning '!$J399,J$2,J$1)-MEDIAN('planning '!$H399,J$2,J$1),+('planning '!$J399&lt;'planning '!$H399)*(J$2-J$1)+MEDIAN('planning '!$J399,J$1,J$2)-MEDIAN('planning '!$H399,J$1,J$2)))</f>
        <v>0.33333333333333337</v>
      </c>
      <c r="K398" s="237"/>
      <c r="M398" s="17"/>
      <c r="N398" s="17"/>
      <c r="O398" s="17"/>
      <c r="P398" s="17"/>
      <c r="Q398" s="17"/>
    </row>
    <row r="399" spans="2:17" x14ac:dyDescent="0.25">
      <c r="B399" s="231" t="str">
        <f>'planning '!F400</f>
        <v>off</v>
      </c>
      <c r="C399" s="232">
        <f t="shared" si="79"/>
        <v>44108</v>
      </c>
      <c r="D399" s="233">
        <f>IF(OR('planning '!$H400="",'planning '!$J400=""),0,IF('planning '!$J400&gt;'planning '!$H400,MEDIAN('planning '!$J400,D$2,D$1)-MEDIAN('planning '!$H400,D$2,D$1),+('planning '!$J400&lt;'planning '!$H400)*(D$2-D$1)+MEDIAN('planning '!$J400,D$1,D$2)-MEDIAN('planning '!$H400,D$1,D$2)))-'planning '!V400</f>
        <v>0</v>
      </c>
      <c r="E399" s="240"/>
      <c r="F399" s="235">
        <f>IF(OR('planning '!$H400="",'planning '!$J400=""),0,IF('planning '!$J400&gt;'planning '!$H400,MEDIAN('planning '!$J400,F$2,F$1)-MEDIAN('planning '!$H400,F$2,F$1),+('planning '!$J400&lt;'planning '!$H400)*(F$2-F$1)+MEDIAN('planning '!$J400,F$1,F$2)-MEDIAN('planning '!$H400,F$1,F$2)))-'planning '!AA400</f>
        <v>0</v>
      </c>
      <c r="G399" s="237"/>
      <c r="H399" s="235">
        <f>IF(OR('planning '!$H400="",'planning '!$J400=""),0,IF('planning '!$J400&gt;'planning '!$H400,MEDIAN('planning '!$J400,H$2,H$1)-MEDIAN('planning '!$H400,H$2,H$1),+('planning '!$J400&lt;'planning '!$H400)*(H$2-H$1)+MEDIAN('planning '!$J400,H$1,H$2)-MEDIAN('planning '!$H400,H$1,H$2)))</f>
        <v>0</v>
      </c>
      <c r="I399" s="237"/>
      <c r="J399" s="234">
        <f>IF(OR('planning '!$H400="",'planning '!$J400=""),0,IF('planning '!$J400&gt;'planning '!$H400,MEDIAN('planning '!$J400,J$2,J$1)-MEDIAN('planning '!$H400,J$2,J$1),+('planning '!$J400&lt;'planning '!$H400)*(J$2-J$1)+MEDIAN('planning '!$J400,J$1,J$2)-MEDIAN('planning '!$H400,J$1,J$2)))</f>
        <v>0</v>
      </c>
      <c r="K399" s="237"/>
      <c r="M399" s="17"/>
      <c r="N399" s="17"/>
      <c r="O399" s="17"/>
      <c r="P399" s="17"/>
      <c r="Q399" s="17"/>
    </row>
    <row r="400" spans="2:17" ht="15.75" thickBot="1" x14ac:dyDescent="0.3">
      <c r="B400" s="231" t="str">
        <f>'planning '!F401</f>
        <v>off</v>
      </c>
      <c r="C400" s="232">
        <f t="shared" si="79"/>
        <v>44109</v>
      </c>
      <c r="D400" s="233">
        <f>IF(OR('planning '!$H401="",'planning '!$J401=""),0,IF('planning '!$J401&gt;'planning '!$H401,MEDIAN('planning '!$J401,D$2,D$1)-MEDIAN('planning '!$H401,D$2,D$1),+('planning '!$J401&lt;'planning '!$H401)*(D$2-D$1)+MEDIAN('planning '!$J401,D$1,D$2)-MEDIAN('planning '!$H401,D$1,D$2)))-'planning '!V401</f>
        <v>0</v>
      </c>
      <c r="E400" s="241"/>
      <c r="F400" s="235">
        <f>IF(OR('planning '!$H401="",'planning '!$J401=""),0,IF('planning '!$J401&gt;'planning '!$H401,MEDIAN('planning '!$J401,F$2,F$1)-MEDIAN('planning '!$H401,F$2,F$1),+('planning '!$J401&lt;'planning '!$H401)*(F$2-F$1)+MEDIAN('planning '!$J401,F$1,F$2)-MEDIAN('planning '!$H401,F$1,F$2)))-'planning '!AA401</f>
        <v>0</v>
      </c>
      <c r="G400" s="238"/>
      <c r="H400" s="235">
        <f>IF(OR('planning '!$H401="",'planning '!$J401=""),0,IF('planning '!$J401&gt;'planning '!$H401,MEDIAN('planning '!$J401,H$2,H$1)-MEDIAN('planning '!$H401,H$2,H$1),+('planning '!$J401&lt;'planning '!$H401)*(H$2-H$1)+MEDIAN('planning '!$J401,H$1,H$2)-MEDIAN('planning '!$H401,H$1,H$2)))</f>
        <v>0</v>
      </c>
      <c r="I400" s="238"/>
      <c r="J400" s="234">
        <f>IF(OR('planning '!$H401="",'planning '!$J401=""),0,IF('planning '!$J401&gt;'planning '!$H401,MEDIAN('planning '!$J401,J$2,J$1)-MEDIAN('planning '!$H401,J$2,J$1),+('planning '!$J401&lt;'planning '!$H401)*(J$2-J$1)+MEDIAN('planning '!$J401,J$1,J$2)-MEDIAN('planning '!$H401,J$1,J$2)))</f>
        <v>0</v>
      </c>
      <c r="K400" s="238"/>
      <c r="M400" s="17"/>
      <c r="N400" s="17"/>
      <c r="O400" s="17"/>
      <c r="P400" s="17"/>
      <c r="Q400" s="17"/>
    </row>
    <row r="401" spans="2:17" x14ac:dyDescent="0.25">
      <c r="M401" s="17"/>
      <c r="N401" s="17"/>
      <c r="O401" s="17"/>
      <c r="P401" s="17"/>
      <c r="Q401" s="17"/>
    </row>
    <row r="402" spans="2:17" x14ac:dyDescent="0.25">
      <c r="M402" s="17"/>
      <c r="N402" s="17"/>
      <c r="O402" s="17"/>
      <c r="P402" s="17"/>
      <c r="Q402" s="17"/>
    </row>
    <row r="403" spans="2:17" ht="15.75" thickBot="1" x14ac:dyDescent="0.3">
      <c r="M403" s="17"/>
      <c r="N403" s="17"/>
      <c r="O403" s="17"/>
      <c r="P403" s="17"/>
      <c r="Q403" s="17"/>
    </row>
    <row r="404" spans="2:17" x14ac:dyDescent="0.25">
      <c r="B404" s="231" t="str">
        <f>'planning '!F405</f>
        <v>off</v>
      </c>
      <c r="C404" s="232">
        <f>'planning '!E405</f>
        <v>44110</v>
      </c>
      <c r="D404" s="233"/>
      <c r="E404" s="239"/>
      <c r="F404" s="235">
        <f>IF(OR('planning '!$H405="",'planning '!$J405=""),0,IF('planning '!$J405&gt;'planning '!$H405,MEDIAN('planning '!$J405,F$2,F$1)-MEDIAN('planning '!$H405,F$2,F$1),+('planning '!$J405&lt;'planning '!$H405)*(F$2-F$1)+MEDIAN('planning '!$J405,F$1,F$2)-MEDIAN('planning '!$H405,F$1,F$2)))-'planning '!AA405</f>
        <v>0</v>
      </c>
      <c r="G404" s="236"/>
      <c r="H404" s="235">
        <f>IF(OR('planning '!$H405="",'planning '!$J405=""),0,IF('planning '!$J405&gt;'planning '!$H405,MEDIAN('planning '!$J405,H$2,H$1)-MEDIAN('planning '!$H405,H$2,H$1),+('planning '!$J405&lt;'planning '!$H405)*(H$2-H$1)+MEDIAN('planning '!$J405,H$1,H$2)-MEDIAN('planning '!$H405,H$1,H$2)))</f>
        <v>0</v>
      </c>
      <c r="I404" s="236"/>
      <c r="J404" s="234">
        <f>IF(OR('planning '!$H405="",'planning '!$J405=""),0,IF('planning '!$J405&gt;'planning '!$H405,MEDIAN('planning '!$J405,J$2,J$1)-MEDIAN('planning '!$H405,J$2,J$1),+('planning '!$J405&lt;'planning '!$H405)*(J$2-J$1)+MEDIAN('planning '!$J405,J$1,J$2)-MEDIAN('planning '!$H405,J$1,J$2)))</f>
        <v>0.33333333333333337</v>
      </c>
      <c r="K404" s="236"/>
      <c r="M404" s="17"/>
      <c r="N404" s="264"/>
      <c r="O404" s="265" t="s">
        <v>114</v>
      </c>
      <c r="P404" s="266"/>
      <c r="Q404" s="17"/>
    </row>
    <row r="405" spans="2:17" x14ac:dyDescent="0.25">
      <c r="B405" s="231" t="str">
        <f>'planning '!F406</f>
        <v>off</v>
      </c>
      <c r="C405" s="232">
        <f>C404+1</f>
        <v>44111</v>
      </c>
      <c r="D405" s="233"/>
      <c r="E405" s="240"/>
      <c r="F405" s="235">
        <f>IF(OR('planning '!$H406="",'planning '!$J406=""),0,IF('planning '!$J406&gt;'planning '!$H406,MEDIAN('planning '!$J406,F$2,F$1)-MEDIAN('planning '!$H406,F$2,F$1),+('planning '!$J406&lt;'planning '!$H406)*(F$2-F$1)+MEDIAN('planning '!$J406,F$1,F$2)-MEDIAN('planning '!$H406,F$1,F$2)))-'planning '!AA406</f>
        <v>0</v>
      </c>
      <c r="G405" s="237"/>
      <c r="H405" s="235">
        <f>IF(OR('planning '!$H406="",'planning '!$J406=""),0,IF('planning '!$J406&gt;'planning '!$H406,MEDIAN('planning '!$J406,H$2,H$1)-MEDIAN('planning '!$H406,H$2,H$1),+('planning '!$J406&lt;'planning '!$H406)*(H$2-H$1)+MEDIAN('planning '!$J406,H$1,H$2)-MEDIAN('planning '!$H406,H$1,H$2)))</f>
        <v>0</v>
      </c>
      <c r="I405" s="237"/>
      <c r="J405" s="234">
        <f>IF(OR('planning '!$H406="",'planning '!$J406=""),0,IF('planning '!$J406&gt;'planning '!$H406,MEDIAN('planning '!$J406,J$2,J$1)-MEDIAN('planning '!$H406,J$2,J$1),+('planning '!$J406&lt;'planning '!$H406)*(J$2-J$1)+MEDIAN('planning '!$J406,J$1,J$2)-MEDIAN('planning '!$H406,J$1,J$2)))</f>
        <v>0.33333333333333337</v>
      </c>
      <c r="K405" s="237"/>
      <c r="M405" s="17"/>
      <c r="N405" s="263" t="s">
        <v>117</v>
      </c>
      <c r="O405" s="263" t="s">
        <v>115</v>
      </c>
      <c r="P405" s="263" t="s">
        <v>116</v>
      </c>
      <c r="Q405" s="243" t="s">
        <v>118</v>
      </c>
    </row>
    <row r="406" spans="2:17" x14ac:dyDescent="0.25">
      <c r="B406" s="231" t="str">
        <f>'planning '!F407</f>
        <v>off</v>
      </c>
      <c r="C406" s="232">
        <f>C405+1</f>
        <v>44112</v>
      </c>
      <c r="D406" s="233"/>
      <c r="E406" s="240"/>
      <c r="F406" s="235">
        <f>IF(OR('planning '!$H407="",'planning '!$J407=""),0,IF('planning '!$J407&gt;'planning '!$H407,MEDIAN('planning '!$J407,F$2,F$1)-MEDIAN('planning '!$H407,F$2,F$1),+('planning '!$J407&lt;'planning '!$H407)*(F$2-F$1)+MEDIAN('planning '!$J407,F$1,F$2)-MEDIAN('planning '!$H407,F$1,F$2)))-'planning '!AA407</f>
        <v>0</v>
      </c>
      <c r="G406" s="237"/>
      <c r="H406" s="235">
        <f>IF(OR('planning '!$H407="",'planning '!$J407=""),0,IF('planning '!$J407&gt;'planning '!$H407,MEDIAN('planning '!$J407,H$2,H$1)-MEDIAN('planning '!$H407,H$2,H$1),+('planning '!$J407&lt;'planning '!$H407)*(H$2-H$1)+MEDIAN('planning '!$J407,H$1,H$2)-MEDIAN('planning '!$H407,H$1,H$2)))</f>
        <v>0</v>
      </c>
      <c r="I406" s="237"/>
      <c r="J406" s="234">
        <f>IF(OR('planning '!$H407="",'planning '!$J407=""),0,IF('planning '!$J407&gt;'planning '!$H407,MEDIAN('planning '!$J407,J$2,J$1)-MEDIAN('planning '!$H407,J$2,J$1),+('planning '!$J407&lt;'planning '!$H407)*(J$2-J$1)+MEDIAN('planning '!$J407,J$1,J$2)-MEDIAN('planning '!$H407,J$1,J$2)))</f>
        <v>0.33333333333333337</v>
      </c>
      <c r="K406" s="237"/>
      <c r="M406" s="231" t="s">
        <v>111</v>
      </c>
      <c r="N406" s="261">
        <f t="shared" ref="N406:Q407" ca="1" si="80">SUMIF(OFFSET($C404:$C411,0,MATCH(N$10,$B$5:$H$5,0)-1,7,1),$K407,OFFSET($B404:$B410,0,MATCH(N$10,$B$5:$H$5,0)-1,7,1))</f>
        <v>0</v>
      </c>
      <c r="O406" s="261">
        <f t="shared" ca="1" si="80"/>
        <v>0</v>
      </c>
      <c r="P406" s="261">
        <f t="shared" ca="1" si="80"/>
        <v>0</v>
      </c>
      <c r="Q406" s="261">
        <f t="shared" ca="1" si="80"/>
        <v>0</v>
      </c>
    </row>
    <row r="407" spans="2:17" x14ac:dyDescent="0.25">
      <c r="B407" s="231" t="str">
        <f>'planning '!F408</f>
        <v>off</v>
      </c>
      <c r="C407" s="232">
        <f t="shared" ref="C407:C410" si="81">C406+1</f>
        <v>44113</v>
      </c>
      <c r="D407" s="233"/>
      <c r="E407" s="240"/>
      <c r="F407" s="235">
        <f>IF(OR('planning '!$H408="",'planning '!$J408=""),0,IF('planning '!$J408&gt;'planning '!$H408,MEDIAN('planning '!$J408,F$2,F$1)-MEDIAN('planning '!$H408,F$2,F$1),+('planning '!$J408&lt;'planning '!$H408)*(F$2-F$1)+MEDIAN('planning '!$J408,F$1,F$2)-MEDIAN('planning '!$H408,F$1,F$2)))-'planning '!AA408</f>
        <v>0</v>
      </c>
      <c r="G407" s="237"/>
      <c r="H407" s="235">
        <f>IF(OR('planning '!$H408="",'planning '!$J408=""),0,IF('planning '!$J408&gt;'planning '!$H408,MEDIAN('planning '!$J408,H$2,H$1)-MEDIAN('planning '!$H408,H$2,H$1),+('planning '!$J408&lt;'planning '!$H408)*(H$2-H$1)+MEDIAN('planning '!$J408,H$1,H$2)-MEDIAN('planning '!$H408,H$1,H$2)))</f>
        <v>0</v>
      </c>
      <c r="I407" s="237"/>
      <c r="J407" s="234">
        <f>IF(OR('planning '!$H408="",'planning '!$J408=""),0,IF('planning '!$J408&gt;'planning '!$H408,MEDIAN('planning '!$J408,J$2,J$1)-MEDIAN('planning '!$H408,J$2,J$1),+('planning '!$J408&lt;'planning '!$H408)*(J$2-J$1)+MEDIAN('planning '!$J408,J$1,J$2)-MEDIAN('planning '!$H408,J$1,J$2)))</f>
        <v>0.33333333333333337</v>
      </c>
      <c r="K407" s="237"/>
      <c r="M407" s="231" t="s">
        <v>21</v>
      </c>
      <c r="N407" s="261">
        <f t="shared" ca="1" si="80"/>
        <v>0</v>
      </c>
      <c r="O407" s="261">
        <f t="shared" ca="1" si="80"/>
        <v>0</v>
      </c>
      <c r="P407" s="261">
        <f t="shared" ca="1" si="80"/>
        <v>0</v>
      </c>
      <c r="Q407" s="261">
        <f t="shared" ca="1" si="80"/>
        <v>0</v>
      </c>
    </row>
    <row r="408" spans="2:17" x14ac:dyDescent="0.25">
      <c r="B408" s="231" t="str">
        <f>'planning '!F409</f>
        <v>off</v>
      </c>
      <c r="C408" s="232">
        <f t="shared" si="81"/>
        <v>44114</v>
      </c>
      <c r="D408" s="233"/>
      <c r="E408" s="240"/>
      <c r="F408" s="235">
        <f>IF(OR('planning '!$H409="",'planning '!$J409=""),0,IF('planning '!$J409&gt;'planning '!$H409,MEDIAN('planning '!$J409,F$2,F$1)-MEDIAN('planning '!$H409,F$2,F$1),+('planning '!$J409&lt;'planning '!$H409)*(F$2-F$1)+MEDIAN('planning '!$J409,F$1,F$2)-MEDIAN('planning '!$H409,F$1,F$2)))-'planning '!AA409</f>
        <v>0</v>
      </c>
      <c r="G408" s="237"/>
      <c r="H408" s="235">
        <f>IF(OR('planning '!$H409="",'planning '!$J409=""),0,IF('planning '!$J409&gt;'planning '!$H409,MEDIAN('planning '!$J409,H$2,H$1)-MEDIAN('planning '!$H409,H$2,H$1),+('planning '!$J409&lt;'planning '!$H409)*(H$2-H$1)+MEDIAN('planning '!$J409,H$1,H$2)-MEDIAN('planning '!$H409,H$1,H$2)))</f>
        <v>0</v>
      </c>
      <c r="I408" s="237"/>
      <c r="J408" s="234">
        <f>IF(OR('planning '!$H409="",'planning '!$J409=""),0,IF('planning '!$J409&gt;'planning '!$H409,MEDIAN('planning '!$J409,J$2,J$1)-MEDIAN('planning '!$H409,J$2,J$1),+('planning '!$J409&lt;'planning '!$H409)*(J$2-J$1)+MEDIAN('planning '!$J409,J$1,J$2)-MEDIAN('planning '!$H409,J$1,J$2)))</f>
        <v>0.33333333333333337</v>
      </c>
      <c r="K408" s="237"/>
      <c r="M408" s="17"/>
      <c r="N408" s="17"/>
      <c r="O408" s="17"/>
      <c r="P408" s="17"/>
      <c r="Q408" s="17"/>
    </row>
    <row r="409" spans="2:17" x14ac:dyDescent="0.25">
      <c r="B409" s="231" t="str">
        <f>'planning '!F410</f>
        <v>off</v>
      </c>
      <c r="C409" s="232">
        <f t="shared" si="81"/>
        <v>44115</v>
      </c>
      <c r="D409" s="233">
        <f>IF(OR('planning '!$H410="",'planning '!$J410=""),0,IF('planning '!$J410&gt;'planning '!$H410,MEDIAN('planning '!$J410,D$2,D$1)-MEDIAN('planning '!$H410,D$2,D$1),+('planning '!$J410&lt;'planning '!$H410)*(D$2-D$1)+MEDIAN('planning '!$J410,D$1,D$2)-MEDIAN('planning '!$H410,D$1,D$2)))-'planning '!V410</f>
        <v>0</v>
      </c>
      <c r="E409" s="240"/>
      <c r="F409" s="235">
        <f>IF(OR('planning '!$H410="",'planning '!$J410=""),0,IF('planning '!$J410&gt;'planning '!$H410,MEDIAN('planning '!$J410,F$2,F$1)-MEDIAN('planning '!$H410,F$2,F$1),+('planning '!$J410&lt;'planning '!$H410)*(F$2-F$1)+MEDIAN('planning '!$J410,F$1,F$2)-MEDIAN('planning '!$H410,F$1,F$2)))-'planning '!AA410</f>
        <v>0</v>
      </c>
      <c r="G409" s="237"/>
      <c r="H409" s="235">
        <f>IF(OR('planning '!$H410="",'planning '!$J410=""),0,IF('planning '!$J410&gt;'planning '!$H410,MEDIAN('planning '!$J410,H$2,H$1)-MEDIAN('planning '!$H410,H$2,H$1),+('planning '!$J410&lt;'planning '!$H410)*(H$2-H$1)+MEDIAN('planning '!$J410,H$1,H$2)-MEDIAN('planning '!$H410,H$1,H$2)))</f>
        <v>0</v>
      </c>
      <c r="I409" s="237"/>
      <c r="J409" s="234">
        <f>IF(OR('planning '!$H410="",'planning '!$J410=""),0,IF('planning '!$J410&gt;'planning '!$H410,MEDIAN('planning '!$J410,J$2,J$1)-MEDIAN('planning '!$H410,J$2,J$1),+('planning '!$J410&lt;'planning '!$H410)*(J$2-J$1)+MEDIAN('planning '!$J410,J$1,J$2)-MEDIAN('planning '!$H410,J$1,J$2)))</f>
        <v>0</v>
      </c>
      <c r="K409" s="237"/>
      <c r="M409" s="17"/>
      <c r="N409" s="17"/>
      <c r="O409" s="17"/>
      <c r="P409" s="17"/>
      <c r="Q409" s="17"/>
    </row>
    <row r="410" spans="2:17" ht="15.75" thickBot="1" x14ac:dyDescent="0.3">
      <c r="B410" s="231" t="str">
        <f>'planning '!F411</f>
        <v>off</v>
      </c>
      <c r="C410" s="232">
        <f t="shared" si="81"/>
        <v>44116</v>
      </c>
      <c r="D410" s="233">
        <f>IF(OR('planning '!$H411="",'planning '!$J411=""),0,IF('planning '!$J411&gt;'planning '!$H411,MEDIAN('planning '!$J411,D$2,D$1)-MEDIAN('planning '!$H411,D$2,D$1),+('planning '!$J411&lt;'planning '!$H411)*(D$2-D$1)+MEDIAN('planning '!$J411,D$1,D$2)-MEDIAN('planning '!$H411,D$1,D$2)))-'planning '!V411</f>
        <v>0</v>
      </c>
      <c r="E410" s="241"/>
      <c r="F410" s="235">
        <f>IF(OR('planning '!$H411="",'planning '!$J411=""),0,IF('planning '!$J411&gt;'planning '!$H411,MEDIAN('planning '!$J411,F$2,F$1)-MEDIAN('planning '!$H411,F$2,F$1),+('planning '!$J411&lt;'planning '!$H411)*(F$2-F$1)+MEDIAN('planning '!$J411,F$1,F$2)-MEDIAN('planning '!$H411,F$1,F$2)))-'planning '!AA411</f>
        <v>0</v>
      </c>
      <c r="G410" s="238"/>
      <c r="H410" s="235">
        <f>IF(OR('planning '!$H411="",'planning '!$J411=""),0,IF('planning '!$J411&gt;'planning '!$H411,MEDIAN('planning '!$J411,H$2,H$1)-MEDIAN('planning '!$H411,H$2,H$1),+('planning '!$J411&lt;'planning '!$H411)*(H$2-H$1)+MEDIAN('planning '!$J411,H$1,H$2)-MEDIAN('planning '!$H411,H$1,H$2)))</f>
        <v>0</v>
      </c>
      <c r="I410" s="238"/>
      <c r="J410" s="234">
        <f>IF(OR('planning '!$H411="",'planning '!$J411=""),0,IF('planning '!$J411&gt;'planning '!$H411,MEDIAN('planning '!$J411,J$2,J$1)-MEDIAN('planning '!$H411,J$2,J$1),+('planning '!$J411&lt;'planning '!$H411)*(J$2-J$1)+MEDIAN('planning '!$J411,J$1,J$2)-MEDIAN('planning '!$H411,J$1,J$2)))</f>
        <v>0</v>
      </c>
      <c r="K410" s="238"/>
      <c r="M410" s="17"/>
      <c r="N410" s="17"/>
      <c r="O410" s="17"/>
      <c r="P410" s="17"/>
      <c r="Q410" s="17"/>
    </row>
    <row r="411" spans="2:17" x14ac:dyDescent="0.25">
      <c r="M411" s="17"/>
      <c r="N411" s="17"/>
      <c r="O411" s="17"/>
      <c r="P411" s="17"/>
      <c r="Q411" s="17"/>
    </row>
    <row r="412" spans="2:17" x14ac:dyDescent="0.25">
      <c r="M412" s="17"/>
      <c r="N412" s="17"/>
      <c r="O412" s="17"/>
      <c r="P412" s="17"/>
      <c r="Q412" s="17"/>
    </row>
    <row r="413" spans="2:17" ht="15.75" thickBot="1" x14ac:dyDescent="0.3">
      <c r="M413" s="17"/>
      <c r="N413" s="17"/>
      <c r="O413" s="17"/>
      <c r="P413" s="17"/>
      <c r="Q413" s="17"/>
    </row>
    <row r="414" spans="2:17" x14ac:dyDescent="0.25">
      <c r="B414" s="231" t="str">
        <f>'planning '!F415</f>
        <v>travail</v>
      </c>
      <c r="C414" s="232">
        <f>'planning '!E415</f>
        <v>44117</v>
      </c>
      <c r="D414" s="233"/>
      <c r="E414" s="239"/>
      <c r="F414" s="235">
        <f>IF(OR('planning '!$H415="",'planning '!$J415=""),0,IF('planning '!$J415&gt;'planning '!$H415,MEDIAN('planning '!$J415,F$2,F$1)-MEDIAN('planning '!$H415,F$2,F$1),+('planning '!$J415&lt;'planning '!$H415)*(F$2-F$1)+MEDIAN('planning '!$J415,F$1,F$2)-MEDIAN('planning '!$H415,F$1,F$2)))-'planning '!AA415</f>
        <v>0</v>
      </c>
      <c r="G414" s="236"/>
      <c r="H414" s="235">
        <f>IF(OR('planning '!$H415="",'planning '!$J415=""),0,IF('planning '!$J415&gt;'planning '!$H415,MEDIAN('planning '!$J415,H$2,H$1)-MEDIAN('planning '!$H415,H$2,H$1),+('planning '!$J415&lt;'planning '!$H415)*(H$2-H$1)+MEDIAN('planning '!$J415,H$1,H$2)-MEDIAN('planning '!$H415,H$1,H$2)))</f>
        <v>0</v>
      </c>
      <c r="I414" s="236"/>
      <c r="J414" s="234">
        <f>IF(OR('planning '!$H415="",'planning '!$J415=""),0,IF('planning '!$J415&gt;'planning '!$H415,MEDIAN('planning '!$J415,J$2,J$1)-MEDIAN('planning '!$H415,J$2,J$1),+('planning '!$J415&lt;'planning '!$H415)*(J$2-J$1)+MEDIAN('planning '!$J415,J$1,J$2)-MEDIAN('planning '!$H415,J$1,J$2)))</f>
        <v>0.33333333333333337</v>
      </c>
      <c r="K414" s="236"/>
      <c r="M414" s="17"/>
      <c r="N414" s="264"/>
      <c r="O414" s="265" t="s">
        <v>114</v>
      </c>
      <c r="P414" s="266"/>
      <c r="Q414" s="17"/>
    </row>
    <row r="415" spans="2:17" x14ac:dyDescent="0.25">
      <c r="B415" s="231" t="str">
        <f>'planning '!F416</f>
        <v>travail</v>
      </c>
      <c r="C415" s="232">
        <f>C414+1</f>
        <v>44118</v>
      </c>
      <c r="D415" s="233"/>
      <c r="E415" s="240"/>
      <c r="F415" s="235">
        <f>IF(OR('planning '!$H416="",'planning '!$J416=""),0,IF('planning '!$J416&gt;'planning '!$H416,MEDIAN('planning '!$J416,F$2,F$1)-MEDIAN('planning '!$H416,F$2,F$1),+('planning '!$J416&lt;'planning '!$H416)*(F$2-F$1)+MEDIAN('planning '!$J416,F$1,F$2)-MEDIAN('planning '!$H416,F$1,F$2)))-'planning '!AA416</f>
        <v>0</v>
      </c>
      <c r="G415" s="237"/>
      <c r="H415" s="235">
        <f>IF(OR('planning '!$H416="",'planning '!$J416=""),0,IF('planning '!$J416&gt;'planning '!$H416,MEDIAN('planning '!$J416,H$2,H$1)-MEDIAN('planning '!$H416,H$2,H$1),+('planning '!$J416&lt;'planning '!$H416)*(H$2-H$1)+MEDIAN('planning '!$J416,H$1,H$2)-MEDIAN('planning '!$H416,H$1,H$2)))</f>
        <v>0</v>
      </c>
      <c r="I415" s="237"/>
      <c r="J415" s="234">
        <f>IF(OR('planning '!$H416="",'planning '!$J416=""),0,IF('planning '!$J416&gt;'planning '!$H416,MEDIAN('planning '!$J416,J$2,J$1)-MEDIAN('planning '!$H416,J$2,J$1),+('planning '!$J416&lt;'planning '!$H416)*(J$2-J$1)+MEDIAN('planning '!$J416,J$1,J$2)-MEDIAN('planning '!$H416,J$1,J$2)))</f>
        <v>0.33333333333333337</v>
      </c>
      <c r="K415" s="237"/>
      <c r="M415" s="17"/>
      <c r="N415" s="263" t="s">
        <v>117</v>
      </c>
      <c r="O415" s="263" t="s">
        <v>115</v>
      </c>
      <c r="P415" s="263" t="s">
        <v>116</v>
      </c>
      <c r="Q415" s="243" t="s">
        <v>118</v>
      </c>
    </row>
    <row r="416" spans="2:17" x14ac:dyDescent="0.25">
      <c r="B416" s="231" t="str">
        <f>'planning '!F417</f>
        <v>travail</v>
      </c>
      <c r="C416" s="232">
        <f>C415+1</f>
        <v>44119</v>
      </c>
      <c r="D416" s="233"/>
      <c r="E416" s="240"/>
      <c r="F416" s="235">
        <f>IF(OR('planning '!$H417="",'planning '!$J417=""),0,IF('planning '!$J417&gt;'planning '!$H417,MEDIAN('planning '!$J417,F$2,F$1)-MEDIAN('planning '!$H417,F$2,F$1),+('planning '!$J417&lt;'planning '!$H417)*(F$2-F$1)+MEDIAN('planning '!$J417,F$1,F$2)-MEDIAN('planning '!$H417,F$1,F$2)))-'planning '!AA417</f>
        <v>0</v>
      </c>
      <c r="G416" s="237"/>
      <c r="H416" s="235">
        <f>IF(OR('planning '!$H417="",'planning '!$J417=""),0,IF('planning '!$J417&gt;'planning '!$H417,MEDIAN('planning '!$J417,H$2,H$1)-MEDIAN('planning '!$H417,H$2,H$1),+('planning '!$J417&lt;'planning '!$H417)*(H$2-H$1)+MEDIAN('planning '!$J417,H$1,H$2)-MEDIAN('planning '!$H417,H$1,H$2)))</f>
        <v>0</v>
      </c>
      <c r="I416" s="237"/>
      <c r="J416" s="234">
        <f>IF(OR('planning '!$H417="",'planning '!$J417=""),0,IF('planning '!$J417&gt;'planning '!$H417,MEDIAN('planning '!$J417,J$2,J$1)-MEDIAN('planning '!$H417,J$2,J$1),+('planning '!$J417&lt;'planning '!$H417)*(J$2-J$1)+MEDIAN('planning '!$J417,J$1,J$2)-MEDIAN('planning '!$H417,J$1,J$2)))</f>
        <v>0.33333333333333337</v>
      </c>
      <c r="K416" s="237"/>
      <c r="M416" s="231" t="s">
        <v>111</v>
      </c>
      <c r="N416" s="261">
        <f t="shared" ref="N416:Q417" ca="1" si="82">SUMIF(OFFSET($C414:$C421,0,MATCH(N$10,$B$5:$H$5,0)-1,7,1),$K417,OFFSET($B414:$B420,0,MATCH(N$10,$B$5:$H$5,0)-1,7,1))</f>
        <v>0</v>
      </c>
      <c r="O416" s="261">
        <f t="shared" ca="1" si="82"/>
        <v>0</v>
      </c>
      <c r="P416" s="261">
        <f t="shared" ca="1" si="82"/>
        <v>0</v>
      </c>
      <c r="Q416" s="261">
        <f t="shared" ca="1" si="82"/>
        <v>0</v>
      </c>
    </row>
    <row r="417" spans="2:17" x14ac:dyDescent="0.25">
      <c r="B417" s="231" t="str">
        <f>'planning '!F418</f>
        <v>travail</v>
      </c>
      <c r="C417" s="232">
        <f t="shared" ref="C417:C420" si="83">C416+1</f>
        <v>44120</v>
      </c>
      <c r="D417" s="233"/>
      <c r="E417" s="240"/>
      <c r="F417" s="235">
        <f>IF(OR('planning '!$H418="",'planning '!$J418=""),0,IF('planning '!$J418&gt;'planning '!$H418,MEDIAN('planning '!$J418,F$2,F$1)-MEDIAN('planning '!$H418,F$2,F$1),+('planning '!$J418&lt;'planning '!$H418)*(F$2-F$1)+MEDIAN('planning '!$J418,F$1,F$2)-MEDIAN('planning '!$H418,F$1,F$2)))-'planning '!AA418</f>
        <v>0</v>
      </c>
      <c r="G417" s="237"/>
      <c r="H417" s="235">
        <f>IF(OR('planning '!$H418="",'planning '!$J418=""),0,IF('planning '!$J418&gt;'planning '!$H418,MEDIAN('planning '!$J418,H$2,H$1)-MEDIAN('planning '!$H418,H$2,H$1),+('planning '!$J418&lt;'planning '!$H418)*(H$2-H$1)+MEDIAN('planning '!$J418,H$1,H$2)-MEDIAN('planning '!$H418,H$1,H$2)))</f>
        <v>0</v>
      </c>
      <c r="I417" s="237"/>
      <c r="J417" s="234">
        <f>IF(OR('planning '!$H418="",'planning '!$J418=""),0,IF('planning '!$J418&gt;'planning '!$H418,MEDIAN('planning '!$J418,J$2,J$1)-MEDIAN('planning '!$H418,J$2,J$1),+('planning '!$J418&lt;'planning '!$H418)*(J$2-J$1)+MEDIAN('planning '!$J418,J$1,J$2)-MEDIAN('planning '!$H418,J$1,J$2)))</f>
        <v>0.33333333333333337</v>
      </c>
      <c r="K417" s="237"/>
      <c r="M417" s="231" t="s">
        <v>21</v>
      </c>
      <c r="N417" s="261">
        <f t="shared" ca="1" si="82"/>
        <v>0</v>
      </c>
      <c r="O417" s="261">
        <f t="shared" ca="1" si="82"/>
        <v>0</v>
      </c>
      <c r="P417" s="261">
        <f t="shared" ca="1" si="82"/>
        <v>0</v>
      </c>
      <c r="Q417" s="261">
        <f t="shared" ca="1" si="82"/>
        <v>0</v>
      </c>
    </row>
    <row r="418" spans="2:17" x14ac:dyDescent="0.25">
      <c r="B418" s="231" t="str">
        <f>'planning '!F419</f>
        <v>travail</v>
      </c>
      <c r="C418" s="232">
        <f t="shared" si="83"/>
        <v>44121</v>
      </c>
      <c r="D418" s="233"/>
      <c r="E418" s="240"/>
      <c r="F418" s="235">
        <f>IF(OR('planning '!$H419="",'planning '!$J419=""),0,IF('planning '!$J419&gt;'planning '!$H419,MEDIAN('planning '!$J419,F$2,F$1)-MEDIAN('planning '!$H419,F$2,F$1),+('planning '!$J419&lt;'planning '!$H419)*(F$2-F$1)+MEDIAN('planning '!$J419,F$1,F$2)-MEDIAN('planning '!$H419,F$1,F$2)))-'planning '!AA419</f>
        <v>0</v>
      </c>
      <c r="G418" s="237"/>
      <c r="H418" s="235">
        <f>IF(OR('planning '!$H419="",'planning '!$J419=""),0,IF('planning '!$J419&gt;'planning '!$H419,MEDIAN('planning '!$J419,H$2,H$1)-MEDIAN('planning '!$H419,H$2,H$1),+('planning '!$J419&lt;'planning '!$H419)*(H$2-H$1)+MEDIAN('planning '!$J419,H$1,H$2)-MEDIAN('planning '!$H419,H$1,H$2)))</f>
        <v>0</v>
      </c>
      <c r="I418" s="237"/>
      <c r="J418" s="234">
        <f>IF(OR('planning '!$H419="",'planning '!$J419=""),0,IF('planning '!$J419&gt;'planning '!$H419,MEDIAN('planning '!$J419,J$2,J$1)-MEDIAN('planning '!$H419,J$2,J$1),+('planning '!$J419&lt;'planning '!$H419)*(J$2-J$1)+MEDIAN('planning '!$J419,J$1,J$2)-MEDIAN('planning '!$H419,J$1,J$2)))</f>
        <v>0.33333333333333337</v>
      </c>
      <c r="K418" s="237"/>
      <c r="M418" s="17"/>
      <c r="N418" s="17"/>
      <c r="O418" s="17"/>
      <c r="P418" s="17"/>
      <c r="Q418" s="17"/>
    </row>
    <row r="419" spans="2:17" x14ac:dyDescent="0.25">
      <c r="B419" s="231" t="str">
        <f>'planning '!F420</f>
        <v>off</v>
      </c>
      <c r="C419" s="232">
        <f t="shared" si="83"/>
        <v>44122</v>
      </c>
      <c r="D419" s="233">
        <f>IF(OR('planning '!$H420="",'planning '!$J420=""),0,IF('planning '!$J420&gt;'planning '!$H420,MEDIAN('planning '!$J420,D$2,D$1)-MEDIAN('planning '!$H420,D$2,D$1),+('planning '!$J420&lt;'planning '!$H420)*(D$2-D$1)+MEDIAN('planning '!$J420,D$1,D$2)-MEDIAN('planning '!$H420,D$1,D$2)))-'planning '!V420</f>
        <v>0</v>
      </c>
      <c r="E419" s="240"/>
      <c r="F419" s="235">
        <f>IF(OR('planning '!$H420="",'planning '!$J420=""),0,IF('planning '!$J420&gt;'planning '!$H420,MEDIAN('planning '!$J420,F$2,F$1)-MEDIAN('planning '!$H420,F$2,F$1),+('planning '!$J420&lt;'planning '!$H420)*(F$2-F$1)+MEDIAN('planning '!$J420,F$1,F$2)-MEDIAN('planning '!$H420,F$1,F$2)))-'planning '!AA420</f>
        <v>0</v>
      </c>
      <c r="G419" s="237"/>
      <c r="H419" s="235">
        <f>IF(OR('planning '!$H420="",'planning '!$J420=""),0,IF('planning '!$J420&gt;'planning '!$H420,MEDIAN('planning '!$J420,H$2,H$1)-MEDIAN('planning '!$H420,H$2,H$1),+('planning '!$J420&lt;'planning '!$H420)*(H$2-H$1)+MEDIAN('planning '!$J420,H$1,H$2)-MEDIAN('planning '!$H420,H$1,H$2)))</f>
        <v>0</v>
      </c>
      <c r="I419" s="237"/>
      <c r="J419" s="234">
        <f>IF(OR('planning '!$H420="",'planning '!$J420=""),0,IF('planning '!$J420&gt;'planning '!$H420,MEDIAN('planning '!$J420,J$2,J$1)-MEDIAN('planning '!$H420,J$2,J$1),+('planning '!$J420&lt;'planning '!$H420)*(J$2-J$1)+MEDIAN('planning '!$J420,J$1,J$2)-MEDIAN('planning '!$H420,J$1,J$2)))</f>
        <v>0</v>
      </c>
      <c r="K419" s="237"/>
      <c r="M419" s="17"/>
      <c r="N419" s="17"/>
      <c r="O419" s="17"/>
      <c r="P419" s="17"/>
      <c r="Q419" s="17"/>
    </row>
    <row r="420" spans="2:17" ht="15.75" thickBot="1" x14ac:dyDescent="0.3">
      <c r="B420" s="231" t="str">
        <f>'planning '!F421</f>
        <v>off</v>
      </c>
      <c r="C420" s="232">
        <f t="shared" si="83"/>
        <v>44123</v>
      </c>
      <c r="D420" s="233">
        <f>IF(OR('planning '!$H421="",'planning '!$J421=""),0,IF('planning '!$J421&gt;'planning '!$H421,MEDIAN('planning '!$J421,D$2,D$1)-MEDIAN('planning '!$H421,D$2,D$1),+('planning '!$J421&lt;'planning '!$H421)*(D$2-D$1)+MEDIAN('planning '!$J421,D$1,D$2)-MEDIAN('planning '!$H421,D$1,D$2)))-'planning '!V421</f>
        <v>0</v>
      </c>
      <c r="E420" s="241"/>
      <c r="F420" s="235">
        <f>IF(OR('planning '!$H421="",'planning '!$J421=""),0,IF('planning '!$J421&gt;'planning '!$H421,MEDIAN('planning '!$J421,F$2,F$1)-MEDIAN('planning '!$H421,F$2,F$1),+('planning '!$J421&lt;'planning '!$H421)*(F$2-F$1)+MEDIAN('planning '!$J421,F$1,F$2)-MEDIAN('planning '!$H421,F$1,F$2)))-'planning '!AA421</f>
        <v>0</v>
      </c>
      <c r="G420" s="238"/>
      <c r="H420" s="235">
        <f>IF(OR('planning '!$H421="",'planning '!$J421=""),0,IF('planning '!$J421&gt;'planning '!$H421,MEDIAN('planning '!$J421,H$2,H$1)-MEDIAN('planning '!$H421,H$2,H$1),+('planning '!$J421&lt;'planning '!$H421)*(H$2-H$1)+MEDIAN('planning '!$J421,H$1,H$2)-MEDIAN('planning '!$H421,H$1,H$2)))</f>
        <v>0</v>
      </c>
      <c r="I420" s="238"/>
      <c r="J420" s="234">
        <f>IF(OR('planning '!$H421="",'planning '!$J421=""),0,IF('planning '!$J421&gt;'planning '!$H421,MEDIAN('planning '!$J421,J$2,J$1)-MEDIAN('planning '!$H421,J$2,J$1),+('planning '!$J421&lt;'planning '!$H421)*(J$2-J$1)+MEDIAN('planning '!$J421,J$1,J$2)-MEDIAN('planning '!$H421,J$1,J$2)))</f>
        <v>0</v>
      </c>
      <c r="K420" s="238"/>
      <c r="M420" s="17"/>
      <c r="N420" s="17"/>
      <c r="O420" s="17"/>
      <c r="P420" s="17"/>
      <c r="Q420" s="17"/>
    </row>
    <row r="421" spans="2:17" x14ac:dyDescent="0.25">
      <c r="M421" s="17"/>
      <c r="N421" s="17"/>
      <c r="O421" s="17"/>
      <c r="P421" s="17"/>
      <c r="Q421" s="17"/>
    </row>
    <row r="422" spans="2:17" x14ac:dyDescent="0.25">
      <c r="M422" s="17"/>
      <c r="N422" s="17"/>
      <c r="O422" s="17"/>
      <c r="P422" s="17"/>
      <c r="Q422" s="17"/>
    </row>
    <row r="423" spans="2:17" ht="15.75" thickBot="1" x14ac:dyDescent="0.3">
      <c r="M423" s="17"/>
      <c r="N423" s="17"/>
      <c r="O423" s="17"/>
      <c r="P423" s="17"/>
      <c r="Q423" s="17"/>
    </row>
    <row r="424" spans="2:17" x14ac:dyDescent="0.25">
      <c r="B424" s="231" t="str">
        <f>'planning '!F425</f>
        <v>travail</v>
      </c>
      <c r="C424" s="232">
        <f>'planning '!E425</f>
        <v>44124</v>
      </c>
      <c r="D424" s="233"/>
      <c r="E424" s="239"/>
      <c r="F424" s="235">
        <f>IF(OR('planning '!$H425="",'planning '!$J425=""),0,IF('planning '!$J425&gt;'planning '!$H425,MEDIAN('planning '!$J425,F$2,F$1)-MEDIAN('planning '!$H425,F$2,F$1),+('planning '!$J425&lt;'planning '!$H425)*(F$2-F$1)+MEDIAN('planning '!$J425,F$1,F$2)-MEDIAN('planning '!$H425,F$1,F$2)))-'planning '!AA425</f>
        <v>0</v>
      </c>
      <c r="G424" s="236"/>
      <c r="H424" s="235">
        <f>IF(OR('planning '!$H425="",'planning '!$J425=""),0,IF('planning '!$J425&gt;'planning '!$H425,MEDIAN('planning '!$J425,H$2,H$1)-MEDIAN('planning '!$H425,H$2,H$1),+('planning '!$J425&lt;'planning '!$H425)*(H$2-H$1)+MEDIAN('planning '!$J425,H$1,H$2)-MEDIAN('planning '!$H425,H$1,H$2)))</f>
        <v>0</v>
      </c>
      <c r="I424" s="236"/>
      <c r="J424" s="234">
        <f>IF(OR('planning '!$H425="",'planning '!$J425=""),0,IF('planning '!$J425&gt;'planning '!$H425,MEDIAN('planning '!$J425,J$2,J$1)-MEDIAN('planning '!$H425,J$2,J$1),+('planning '!$J425&lt;'planning '!$H425)*(J$2-J$1)+MEDIAN('planning '!$J425,J$1,J$2)-MEDIAN('planning '!$H425,J$1,J$2)))</f>
        <v>0.33333333333333337</v>
      </c>
      <c r="K424" s="236"/>
      <c r="M424" s="17"/>
      <c r="N424" s="264"/>
      <c r="O424" s="265" t="s">
        <v>114</v>
      </c>
      <c r="P424" s="266"/>
      <c r="Q424" s="17"/>
    </row>
    <row r="425" spans="2:17" x14ac:dyDescent="0.25">
      <c r="B425" s="231" t="str">
        <f>'planning '!F426</f>
        <v>travail</v>
      </c>
      <c r="C425" s="232">
        <f>C424+1</f>
        <v>44125</v>
      </c>
      <c r="D425" s="233"/>
      <c r="E425" s="240"/>
      <c r="F425" s="235">
        <f>IF(OR('planning '!$H426="",'planning '!$J426=""),0,IF('planning '!$J426&gt;'planning '!$H426,MEDIAN('planning '!$J426,F$2,F$1)-MEDIAN('planning '!$H426,F$2,F$1),+('planning '!$J426&lt;'planning '!$H426)*(F$2-F$1)+MEDIAN('planning '!$J426,F$1,F$2)-MEDIAN('planning '!$H426,F$1,F$2)))-'planning '!AA426</f>
        <v>0</v>
      </c>
      <c r="G425" s="237"/>
      <c r="H425" s="235">
        <f>IF(OR('planning '!$H426="",'planning '!$J426=""),0,IF('planning '!$J426&gt;'planning '!$H426,MEDIAN('planning '!$J426,H$2,H$1)-MEDIAN('planning '!$H426,H$2,H$1),+('planning '!$J426&lt;'planning '!$H426)*(H$2-H$1)+MEDIAN('planning '!$J426,H$1,H$2)-MEDIAN('planning '!$H426,H$1,H$2)))</f>
        <v>0</v>
      </c>
      <c r="I425" s="237"/>
      <c r="J425" s="234">
        <f>IF(OR('planning '!$H426="",'planning '!$J426=""),0,IF('planning '!$J426&gt;'planning '!$H426,MEDIAN('planning '!$J426,J$2,J$1)-MEDIAN('planning '!$H426,J$2,J$1),+('planning '!$J426&lt;'planning '!$H426)*(J$2-J$1)+MEDIAN('planning '!$J426,J$1,J$2)-MEDIAN('planning '!$H426,J$1,J$2)))</f>
        <v>0.33333333333333337</v>
      </c>
      <c r="K425" s="237"/>
      <c r="M425" s="17"/>
      <c r="N425" s="263" t="s">
        <v>117</v>
      </c>
      <c r="O425" s="263" t="s">
        <v>115</v>
      </c>
      <c r="P425" s="263" t="s">
        <v>116</v>
      </c>
      <c r="Q425" s="243" t="s">
        <v>118</v>
      </c>
    </row>
    <row r="426" spans="2:17" x14ac:dyDescent="0.25">
      <c r="B426" s="231" t="str">
        <f>'planning '!F427</f>
        <v>travail</v>
      </c>
      <c r="C426" s="232">
        <f>C425+1</f>
        <v>44126</v>
      </c>
      <c r="D426" s="233"/>
      <c r="E426" s="240"/>
      <c r="F426" s="235">
        <f>IF(OR('planning '!$H427="",'planning '!$J427=""),0,IF('planning '!$J427&gt;'planning '!$H427,MEDIAN('planning '!$J427,F$2,F$1)-MEDIAN('planning '!$H427,F$2,F$1),+('planning '!$J427&lt;'planning '!$H427)*(F$2-F$1)+MEDIAN('planning '!$J427,F$1,F$2)-MEDIAN('planning '!$H427,F$1,F$2)))-'planning '!AA427</f>
        <v>0</v>
      </c>
      <c r="G426" s="237"/>
      <c r="H426" s="235">
        <f>IF(OR('planning '!$H427="",'planning '!$J427=""),0,IF('planning '!$J427&gt;'planning '!$H427,MEDIAN('planning '!$J427,H$2,H$1)-MEDIAN('planning '!$H427,H$2,H$1),+('planning '!$J427&lt;'planning '!$H427)*(H$2-H$1)+MEDIAN('planning '!$J427,H$1,H$2)-MEDIAN('planning '!$H427,H$1,H$2)))</f>
        <v>0</v>
      </c>
      <c r="I426" s="237"/>
      <c r="J426" s="234">
        <f>IF(OR('planning '!$H427="",'planning '!$J427=""),0,IF('planning '!$J427&gt;'planning '!$H427,MEDIAN('planning '!$J427,J$2,J$1)-MEDIAN('planning '!$H427,J$2,J$1),+('planning '!$J427&lt;'planning '!$H427)*(J$2-J$1)+MEDIAN('planning '!$J427,J$1,J$2)-MEDIAN('planning '!$H427,J$1,J$2)))</f>
        <v>0.33333333333333337</v>
      </c>
      <c r="K426" s="237"/>
      <c r="M426" s="231" t="s">
        <v>111</v>
      </c>
      <c r="N426" s="261">
        <f t="shared" ref="N426:Q427" ca="1" si="84">SUMIF(OFFSET($C424:$C431,0,MATCH(N$10,$B$5:$H$5,0)-1,7,1),$K427,OFFSET($B424:$B430,0,MATCH(N$10,$B$5:$H$5,0)-1,7,1))</f>
        <v>0</v>
      </c>
      <c r="O426" s="261">
        <f t="shared" ca="1" si="84"/>
        <v>0</v>
      </c>
      <c r="P426" s="261">
        <f t="shared" ca="1" si="84"/>
        <v>0</v>
      </c>
      <c r="Q426" s="261">
        <f t="shared" ca="1" si="84"/>
        <v>0</v>
      </c>
    </row>
    <row r="427" spans="2:17" x14ac:dyDescent="0.25">
      <c r="B427" s="231" t="str">
        <f>'planning '!F428</f>
        <v>travail</v>
      </c>
      <c r="C427" s="232">
        <f t="shared" ref="C427:C430" si="85">C426+1</f>
        <v>44127</v>
      </c>
      <c r="D427" s="233"/>
      <c r="E427" s="240"/>
      <c r="F427" s="235">
        <f>IF(OR('planning '!$H428="",'planning '!$J428=""),0,IF('planning '!$J428&gt;'planning '!$H428,MEDIAN('planning '!$J428,F$2,F$1)-MEDIAN('planning '!$H428,F$2,F$1),+('planning '!$J428&lt;'planning '!$H428)*(F$2-F$1)+MEDIAN('planning '!$J428,F$1,F$2)-MEDIAN('planning '!$H428,F$1,F$2)))-'planning '!AA428</f>
        <v>0</v>
      </c>
      <c r="G427" s="237"/>
      <c r="H427" s="235">
        <f>IF(OR('planning '!$H428="",'planning '!$J428=""),0,IF('planning '!$J428&gt;'planning '!$H428,MEDIAN('planning '!$J428,H$2,H$1)-MEDIAN('planning '!$H428,H$2,H$1),+('planning '!$J428&lt;'planning '!$H428)*(H$2-H$1)+MEDIAN('planning '!$J428,H$1,H$2)-MEDIAN('planning '!$H428,H$1,H$2)))</f>
        <v>0</v>
      </c>
      <c r="I427" s="237"/>
      <c r="J427" s="234">
        <f>IF(OR('planning '!$H428="",'planning '!$J428=""),0,IF('planning '!$J428&gt;'planning '!$H428,MEDIAN('planning '!$J428,J$2,J$1)-MEDIAN('planning '!$H428,J$2,J$1),+('planning '!$J428&lt;'planning '!$H428)*(J$2-J$1)+MEDIAN('planning '!$J428,J$1,J$2)-MEDIAN('planning '!$H428,J$1,J$2)))</f>
        <v>0.33333333333333337</v>
      </c>
      <c r="K427" s="237"/>
      <c r="M427" s="231" t="s">
        <v>21</v>
      </c>
      <c r="N427" s="261">
        <f t="shared" ca="1" si="84"/>
        <v>0</v>
      </c>
      <c r="O427" s="261">
        <f t="shared" ca="1" si="84"/>
        <v>0</v>
      </c>
      <c r="P427" s="261">
        <f t="shared" ca="1" si="84"/>
        <v>0</v>
      </c>
      <c r="Q427" s="261">
        <f t="shared" ca="1" si="84"/>
        <v>0</v>
      </c>
    </row>
    <row r="428" spans="2:17" x14ac:dyDescent="0.25">
      <c r="B428" s="231" t="str">
        <f>'planning '!F429</f>
        <v>travail</v>
      </c>
      <c r="C428" s="232">
        <f t="shared" si="85"/>
        <v>44128</v>
      </c>
      <c r="D428" s="233"/>
      <c r="E428" s="240"/>
      <c r="F428" s="235">
        <f>IF(OR('planning '!$H429="",'planning '!$J429=""),0,IF('planning '!$J429&gt;'planning '!$H429,MEDIAN('planning '!$J429,F$2,F$1)-MEDIAN('planning '!$H429,F$2,F$1),+('planning '!$J429&lt;'planning '!$H429)*(F$2-F$1)+MEDIAN('planning '!$J429,F$1,F$2)-MEDIAN('planning '!$H429,F$1,F$2)))-'planning '!AA429</f>
        <v>0</v>
      </c>
      <c r="G428" s="237"/>
      <c r="H428" s="235">
        <f>IF(OR('planning '!$H429="",'planning '!$J429=""),0,IF('planning '!$J429&gt;'planning '!$H429,MEDIAN('planning '!$J429,H$2,H$1)-MEDIAN('planning '!$H429,H$2,H$1),+('planning '!$J429&lt;'planning '!$H429)*(H$2-H$1)+MEDIAN('planning '!$J429,H$1,H$2)-MEDIAN('planning '!$H429,H$1,H$2)))</f>
        <v>0</v>
      </c>
      <c r="I428" s="237"/>
      <c r="J428" s="234">
        <f>IF(OR('planning '!$H429="",'planning '!$J429=""),0,IF('planning '!$J429&gt;'planning '!$H429,MEDIAN('planning '!$J429,J$2,J$1)-MEDIAN('planning '!$H429,J$2,J$1),+('planning '!$J429&lt;'planning '!$H429)*(J$2-J$1)+MEDIAN('planning '!$J429,J$1,J$2)-MEDIAN('planning '!$H429,J$1,J$2)))</f>
        <v>0.33333333333333337</v>
      </c>
      <c r="K428" s="237"/>
      <c r="M428" s="17"/>
      <c r="N428" s="17"/>
      <c r="O428" s="17"/>
      <c r="P428" s="17"/>
      <c r="Q428" s="17"/>
    </row>
    <row r="429" spans="2:17" x14ac:dyDescent="0.25">
      <c r="B429" s="231" t="str">
        <f>'planning '!F430</f>
        <v>off</v>
      </c>
      <c r="C429" s="232">
        <f t="shared" si="85"/>
        <v>44129</v>
      </c>
      <c r="D429" s="233">
        <f>IF(OR('planning '!$H430="",'planning '!$J430=""),0,IF('planning '!$J430&gt;'planning '!$H430,MEDIAN('planning '!$J430,D$2,D$1)-MEDIAN('planning '!$H430,D$2,D$1),+('planning '!$J430&lt;'planning '!$H430)*(D$2-D$1)+MEDIAN('planning '!$J430,D$1,D$2)-MEDIAN('planning '!$H430,D$1,D$2)))-'planning '!V430</f>
        <v>0</v>
      </c>
      <c r="E429" s="240"/>
      <c r="F429" s="235">
        <f>IF(OR('planning '!$H430="",'planning '!$J430=""),0,IF('planning '!$J430&gt;'planning '!$H430,MEDIAN('planning '!$J430,F$2,F$1)-MEDIAN('planning '!$H430,F$2,F$1),+('planning '!$J430&lt;'planning '!$H430)*(F$2-F$1)+MEDIAN('planning '!$J430,F$1,F$2)-MEDIAN('planning '!$H430,F$1,F$2)))-'planning '!AA430</f>
        <v>0</v>
      </c>
      <c r="G429" s="237"/>
      <c r="H429" s="235">
        <f>IF(OR('planning '!$H430="",'planning '!$J430=""),0,IF('planning '!$J430&gt;'planning '!$H430,MEDIAN('planning '!$J430,H$2,H$1)-MEDIAN('planning '!$H430,H$2,H$1),+('planning '!$J430&lt;'planning '!$H430)*(H$2-H$1)+MEDIAN('planning '!$J430,H$1,H$2)-MEDIAN('planning '!$H430,H$1,H$2)))</f>
        <v>0</v>
      </c>
      <c r="I429" s="237"/>
      <c r="J429" s="234">
        <f>IF(OR('planning '!$H430="",'planning '!$J430=""),0,IF('planning '!$J430&gt;'planning '!$H430,MEDIAN('planning '!$J430,J$2,J$1)-MEDIAN('planning '!$H430,J$2,J$1),+('planning '!$J430&lt;'planning '!$H430)*(J$2-J$1)+MEDIAN('planning '!$J430,J$1,J$2)-MEDIAN('planning '!$H430,J$1,J$2)))</f>
        <v>0</v>
      </c>
      <c r="K429" s="237"/>
      <c r="M429" s="17"/>
      <c r="N429" s="17"/>
      <c r="O429" s="17"/>
      <c r="P429" s="17"/>
      <c r="Q429" s="17"/>
    </row>
    <row r="430" spans="2:17" ht="15.75" thickBot="1" x14ac:dyDescent="0.3">
      <c r="B430" s="231" t="str">
        <f>'planning '!F431</f>
        <v>off</v>
      </c>
      <c r="C430" s="232">
        <f t="shared" si="85"/>
        <v>44130</v>
      </c>
      <c r="D430" s="233">
        <f>IF(OR('planning '!$H431="",'planning '!$J431=""),0,IF('planning '!$J431&gt;'planning '!$H431,MEDIAN('planning '!$J431,D$2,D$1)-MEDIAN('planning '!$H431,D$2,D$1),+('planning '!$J431&lt;'planning '!$H431)*(D$2-D$1)+MEDIAN('planning '!$J431,D$1,D$2)-MEDIAN('planning '!$H431,D$1,D$2)))-'planning '!V431</f>
        <v>0</v>
      </c>
      <c r="E430" s="241"/>
      <c r="F430" s="235">
        <f>IF(OR('planning '!$H431="",'planning '!$J431=""),0,IF('planning '!$J431&gt;'planning '!$H431,MEDIAN('planning '!$J431,F$2,F$1)-MEDIAN('planning '!$H431,F$2,F$1),+('planning '!$J431&lt;'planning '!$H431)*(F$2-F$1)+MEDIAN('planning '!$J431,F$1,F$2)-MEDIAN('planning '!$H431,F$1,F$2)))-'planning '!AA431</f>
        <v>0</v>
      </c>
      <c r="G430" s="238"/>
      <c r="H430" s="235">
        <f>IF(OR('planning '!$H431="",'planning '!$J431=""),0,IF('planning '!$J431&gt;'planning '!$H431,MEDIAN('planning '!$J431,H$2,H$1)-MEDIAN('planning '!$H431,H$2,H$1),+('planning '!$J431&lt;'planning '!$H431)*(H$2-H$1)+MEDIAN('planning '!$J431,H$1,H$2)-MEDIAN('planning '!$H431,H$1,H$2)))</f>
        <v>0</v>
      </c>
      <c r="I430" s="238"/>
      <c r="J430" s="234">
        <f>IF(OR('planning '!$H431="",'planning '!$J431=""),0,IF('planning '!$J431&gt;'planning '!$H431,MEDIAN('planning '!$J431,J$2,J$1)-MEDIAN('planning '!$H431,J$2,J$1),+('planning '!$J431&lt;'planning '!$H431)*(J$2-J$1)+MEDIAN('planning '!$J431,J$1,J$2)-MEDIAN('planning '!$H431,J$1,J$2)))</f>
        <v>0</v>
      </c>
      <c r="K430" s="238"/>
      <c r="M430" s="17"/>
      <c r="N430" s="17"/>
      <c r="O430" s="17"/>
      <c r="P430" s="17"/>
      <c r="Q430" s="17"/>
    </row>
    <row r="431" spans="2:17" x14ac:dyDescent="0.25">
      <c r="M431" s="17"/>
      <c r="N431" s="17"/>
      <c r="O431" s="17"/>
      <c r="P431" s="17"/>
      <c r="Q431" s="17"/>
    </row>
    <row r="432" spans="2:17" x14ac:dyDescent="0.25">
      <c r="M432" s="17"/>
      <c r="N432" s="17"/>
      <c r="O432" s="17"/>
      <c r="P432" s="17"/>
      <c r="Q432" s="17"/>
    </row>
    <row r="433" spans="2:17" ht="15.75" thickBot="1" x14ac:dyDescent="0.3">
      <c r="M433" s="17"/>
      <c r="N433" s="17"/>
      <c r="O433" s="17"/>
      <c r="P433" s="17"/>
      <c r="Q433" s="17"/>
    </row>
    <row r="434" spans="2:17" x14ac:dyDescent="0.25">
      <c r="B434" s="231" t="str">
        <f>'planning '!F435</f>
        <v>travail</v>
      </c>
      <c r="C434" s="232">
        <f>'planning '!E435</f>
        <v>44131</v>
      </c>
      <c r="D434" s="233"/>
      <c r="E434" s="239"/>
      <c r="F434" s="235">
        <f>IF(OR('planning '!$H435="",'planning '!$J435=""),0,IF('planning '!$J435&gt;'planning '!$H435,MEDIAN('planning '!$J435,F$2,F$1)-MEDIAN('planning '!$H435,F$2,F$1),+('planning '!$J435&lt;'planning '!$H435)*(F$2-F$1)+MEDIAN('planning '!$J435,F$1,F$2)-MEDIAN('planning '!$H435,F$1,F$2)))-'planning '!AA435</f>
        <v>0</v>
      </c>
      <c r="G434" s="236"/>
      <c r="H434" s="235">
        <f>IF(OR('planning '!$H435="",'planning '!$J435=""),0,IF('planning '!$J435&gt;'planning '!$H435,MEDIAN('planning '!$J435,H$2,H$1)-MEDIAN('planning '!$H435,H$2,H$1),+('planning '!$J435&lt;'planning '!$H435)*(H$2-H$1)+MEDIAN('planning '!$J435,H$1,H$2)-MEDIAN('planning '!$H435,H$1,H$2)))</f>
        <v>0</v>
      </c>
      <c r="I434" s="236"/>
      <c r="J434" s="234">
        <f>IF(OR('planning '!$H435="",'planning '!$J435=""),0,IF('planning '!$J435&gt;'planning '!$H435,MEDIAN('planning '!$J435,J$2,J$1)-MEDIAN('planning '!$H435,J$2,J$1),+('planning '!$J435&lt;'planning '!$H435)*(J$2-J$1)+MEDIAN('planning '!$J435,J$1,J$2)-MEDIAN('planning '!$H435,J$1,J$2)))</f>
        <v>0.33333333333333337</v>
      </c>
      <c r="K434" s="236"/>
      <c r="M434" s="17"/>
      <c r="N434" s="264"/>
      <c r="O434" s="265" t="s">
        <v>114</v>
      </c>
      <c r="P434" s="266"/>
      <c r="Q434" s="17"/>
    </row>
    <row r="435" spans="2:17" x14ac:dyDescent="0.25">
      <c r="B435" s="231" t="str">
        <f>'planning '!F436</f>
        <v>travail</v>
      </c>
      <c r="C435" s="232">
        <f>C434+1</f>
        <v>44132</v>
      </c>
      <c r="D435" s="233"/>
      <c r="E435" s="240"/>
      <c r="F435" s="235">
        <f>IF(OR('planning '!$H436="",'planning '!$J436=""),0,IF('planning '!$J436&gt;'planning '!$H436,MEDIAN('planning '!$J436,F$2,F$1)-MEDIAN('planning '!$H436,F$2,F$1),+('planning '!$J436&lt;'planning '!$H436)*(F$2-F$1)+MEDIAN('planning '!$J436,F$1,F$2)-MEDIAN('planning '!$H436,F$1,F$2)))-'planning '!AA436</f>
        <v>0</v>
      </c>
      <c r="G435" s="237"/>
      <c r="H435" s="235">
        <f>IF(OR('planning '!$H436="",'planning '!$J436=""),0,IF('planning '!$J436&gt;'planning '!$H436,MEDIAN('planning '!$J436,H$2,H$1)-MEDIAN('planning '!$H436,H$2,H$1),+('planning '!$J436&lt;'planning '!$H436)*(H$2-H$1)+MEDIAN('planning '!$J436,H$1,H$2)-MEDIAN('planning '!$H436,H$1,H$2)))</f>
        <v>0</v>
      </c>
      <c r="I435" s="237"/>
      <c r="J435" s="234">
        <f>IF(OR('planning '!$H436="",'planning '!$J436=""),0,IF('planning '!$J436&gt;'planning '!$H436,MEDIAN('planning '!$J436,J$2,J$1)-MEDIAN('planning '!$H436,J$2,J$1),+('planning '!$J436&lt;'planning '!$H436)*(J$2-J$1)+MEDIAN('planning '!$J436,J$1,J$2)-MEDIAN('planning '!$H436,J$1,J$2)))</f>
        <v>0.33333333333333337</v>
      </c>
      <c r="K435" s="237"/>
      <c r="M435" s="17"/>
      <c r="N435" s="263" t="s">
        <v>117</v>
      </c>
      <c r="O435" s="263" t="s">
        <v>115</v>
      </c>
      <c r="P435" s="263" t="s">
        <v>116</v>
      </c>
      <c r="Q435" s="243" t="s">
        <v>118</v>
      </c>
    </row>
    <row r="436" spans="2:17" x14ac:dyDescent="0.25">
      <c r="B436" s="231" t="str">
        <f>'planning '!F437</f>
        <v>travail</v>
      </c>
      <c r="C436" s="232">
        <f>C435+1</f>
        <v>44133</v>
      </c>
      <c r="D436" s="233"/>
      <c r="E436" s="240"/>
      <c r="F436" s="235">
        <f>IF(OR('planning '!$H437="",'planning '!$J437=""),0,IF('planning '!$J437&gt;'planning '!$H437,MEDIAN('planning '!$J437,F$2,F$1)-MEDIAN('planning '!$H437,F$2,F$1),+('planning '!$J437&lt;'planning '!$H437)*(F$2-F$1)+MEDIAN('planning '!$J437,F$1,F$2)-MEDIAN('planning '!$H437,F$1,F$2)))-'planning '!AA437</f>
        <v>0</v>
      </c>
      <c r="G436" s="237"/>
      <c r="H436" s="235">
        <f>IF(OR('planning '!$H437="",'planning '!$J437=""),0,IF('planning '!$J437&gt;'planning '!$H437,MEDIAN('planning '!$J437,H$2,H$1)-MEDIAN('planning '!$H437,H$2,H$1),+('planning '!$J437&lt;'planning '!$H437)*(H$2-H$1)+MEDIAN('planning '!$J437,H$1,H$2)-MEDIAN('planning '!$H437,H$1,H$2)))</f>
        <v>0</v>
      </c>
      <c r="I436" s="237"/>
      <c r="J436" s="234">
        <f>IF(OR('planning '!$H437="",'planning '!$J437=""),0,IF('planning '!$J437&gt;'planning '!$H437,MEDIAN('planning '!$J437,J$2,J$1)-MEDIAN('planning '!$H437,J$2,J$1),+('planning '!$J437&lt;'planning '!$H437)*(J$2-J$1)+MEDIAN('planning '!$J437,J$1,J$2)-MEDIAN('planning '!$H437,J$1,J$2)))</f>
        <v>0.33333333333333337</v>
      </c>
      <c r="K436" s="237"/>
      <c r="M436" s="231" t="s">
        <v>111</v>
      </c>
      <c r="N436" s="261">
        <f t="shared" ref="N436:Q437" ca="1" si="86">SUMIF(OFFSET($C434:$C441,0,MATCH(N$10,$B$5:$H$5,0)-1,7,1),$K437,OFFSET($B434:$B440,0,MATCH(N$10,$B$5:$H$5,0)-1,7,1))</f>
        <v>0</v>
      </c>
      <c r="O436" s="261">
        <f t="shared" ca="1" si="86"/>
        <v>0</v>
      </c>
      <c r="P436" s="261">
        <f t="shared" ca="1" si="86"/>
        <v>0</v>
      </c>
      <c r="Q436" s="261">
        <f t="shared" ca="1" si="86"/>
        <v>0</v>
      </c>
    </row>
    <row r="437" spans="2:17" x14ac:dyDescent="0.25">
      <c r="B437" s="231" t="str">
        <f>'planning '!F438</f>
        <v>travail</v>
      </c>
      <c r="C437" s="232">
        <f t="shared" ref="C437:C440" si="87">C436+1</f>
        <v>44134</v>
      </c>
      <c r="D437" s="233"/>
      <c r="E437" s="240"/>
      <c r="F437" s="235">
        <f>IF(OR('planning '!$H438="",'planning '!$J438=""),0,IF('planning '!$J438&gt;'planning '!$H438,MEDIAN('planning '!$J438,F$2,F$1)-MEDIAN('planning '!$H438,F$2,F$1),+('planning '!$J438&lt;'planning '!$H438)*(F$2-F$1)+MEDIAN('planning '!$J438,F$1,F$2)-MEDIAN('planning '!$H438,F$1,F$2)))-'planning '!AA438</f>
        <v>0</v>
      </c>
      <c r="G437" s="237"/>
      <c r="H437" s="235">
        <f>IF(OR('planning '!$H438="",'planning '!$J438=""),0,IF('planning '!$J438&gt;'planning '!$H438,MEDIAN('planning '!$J438,H$2,H$1)-MEDIAN('planning '!$H438,H$2,H$1),+('planning '!$J438&lt;'planning '!$H438)*(H$2-H$1)+MEDIAN('planning '!$J438,H$1,H$2)-MEDIAN('planning '!$H438,H$1,H$2)))</f>
        <v>0</v>
      </c>
      <c r="I437" s="237"/>
      <c r="J437" s="234">
        <f>IF(OR('planning '!$H438="",'planning '!$J438=""),0,IF('planning '!$J438&gt;'planning '!$H438,MEDIAN('planning '!$J438,J$2,J$1)-MEDIAN('planning '!$H438,J$2,J$1),+('planning '!$J438&lt;'planning '!$H438)*(J$2-J$1)+MEDIAN('planning '!$J438,J$1,J$2)-MEDIAN('planning '!$H438,J$1,J$2)))</f>
        <v>0.33333333333333337</v>
      </c>
      <c r="K437" s="237"/>
      <c r="M437" s="231" t="s">
        <v>21</v>
      </c>
      <c r="N437" s="261">
        <f t="shared" ca="1" si="86"/>
        <v>0</v>
      </c>
      <c r="O437" s="261">
        <f t="shared" ca="1" si="86"/>
        <v>0</v>
      </c>
      <c r="P437" s="261">
        <f t="shared" ca="1" si="86"/>
        <v>0</v>
      </c>
      <c r="Q437" s="261">
        <f t="shared" ca="1" si="86"/>
        <v>0</v>
      </c>
    </row>
    <row r="438" spans="2:17" x14ac:dyDescent="0.25">
      <c r="B438" s="231" t="str">
        <f>'planning '!F439</f>
        <v xml:space="preserve">férié </v>
      </c>
      <c r="C438" s="232">
        <f t="shared" si="87"/>
        <v>44135</v>
      </c>
      <c r="D438" s="233"/>
      <c r="E438" s="240"/>
      <c r="F438" s="235">
        <f>IF(OR('planning '!$H439="",'planning '!$J439=""),0,IF('planning '!$J439&gt;'planning '!$H439,MEDIAN('planning '!$J439,F$2,F$1)-MEDIAN('planning '!$H439,F$2,F$1),+('planning '!$J439&lt;'planning '!$H439)*(F$2-F$1)+MEDIAN('planning '!$J439,F$1,F$2)-MEDIAN('planning '!$H439,F$1,F$2)))-'planning '!AA439</f>
        <v>0</v>
      </c>
      <c r="G438" s="237"/>
      <c r="H438" s="235">
        <f>IF(OR('planning '!$H439="",'planning '!$J439=""),0,IF('planning '!$J439&gt;'planning '!$H439,MEDIAN('planning '!$J439,H$2,H$1)-MEDIAN('planning '!$H439,H$2,H$1),+('planning '!$J439&lt;'planning '!$H439)*(H$2-H$1)+MEDIAN('planning '!$J439,H$1,H$2)-MEDIAN('planning '!$H439,H$1,H$2)))</f>
        <v>0</v>
      </c>
      <c r="I438" s="237"/>
      <c r="J438" s="234">
        <f>IF(OR('planning '!$H439="",'planning '!$J439=""),0,IF('planning '!$J439&gt;'planning '!$H439,MEDIAN('planning '!$J439,J$2,J$1)-MEDIAN('planning '!$H439,J$2,J$1),+('planning '!$J439&lt;'planning '!$H439)*(J$2-J$1)+MEDIAN('planning '!$J439,J$1,J$2)-MEDIAN('planning '!$H439,J$1,J$2)))</f>
        <v>0</v>
      </c>
      <c r="K438" s="237"/>
      <c r="M438" s="17"/>
      <c r="N438" s="17"/>
      <c r="O438" s="17"/>
      <c r="P438" s="17"/>
      <c r="Q438" s="17"/>
    </row>
    <row r="439" spans="2:17" x14ac:dyDescent="0.25">
      <c r="B439" s="231" t="str">
        <f>'planning '!F440</f>
        <v>off</v>
      </c>
      <c r="C439" s="232">
        <f t="shared" si="87"/>
        <v>44136</v>
      </c>
      <c r="D439" s="233">
        <f>IF(OR('planning '!$H440="",'planning '!$J440=""),0,IF('planning '!$J440&gt;'planning '!$H440,MEDIAN('planning '!$J440,D$2,D$1)-MEDIAN('planning '!$H440,D$2,D$1),+('planning '!$J440&lt;'planning '!$H440)*(D$2-D$1)+MEDIAN('planning '!$J440,D$1,D$2)-MEDIAN('planning '!$H440,D$1,D$2)))-'planning '!V440</f>
        <v>0</v>
      </c>
      <c r="E439" s="240"/>
      <c r="F439" s="235">
        <f>IF(OR('planning '!$H440="",'planning '!$J440=""),0,IF('planning '!$J440&gt;'planning '!$H440,MEDIAN('planning '!$J440,F$2,F$1)-MEDIAN('planning '!$H440,F$2,F$1),+('planning '!$J440&lt;'planning '!$H440)*(F$2-F$1)+MEDIAN('planning '!$J440,F$1,F$2)-MEDIAN('planning '!$H440,F$1,F$2)))-'planning '!AA440</f>
        <v>0</v>
      </c>
      <c r="G439" s="237"/>
      <c r="H439" s="235">
        <f>IF(OR('planning '!$H440="",'planning '!$J440=""),0,IF('planning '!$J440&gt;'planning '!$H440,MEDIAN('planning '!$J440,H$2,H$1)-MEDIAN('planning '!$H440,H$2,H$1),+('planning '!$J440&lt;'planning '!$H440)*(H$2-H$1)+MEDIAN('planning '!$J440,H$1,H$2)-MEDIAN('planning '!$H440,H$1,H$2)))</f>
        <v>0</v>
      </c>
      <c r="I439" s="237"/>
      <c r="J439" s="234">
        <f>IF(OR('planning '!$H440="",'planning '!$J440=""),0,IF('planning '!$J440&gt;'planning '!$H440,MEDIAN('planning '!$J440,J$2,J$1)-MEDIAN('planning '!$H440,J$2,J$1),+('planning '!$J440&lt;'planning '!$H440)*(J$2-J$1)+MEDIAN('planning '!$J440,J$1,J$2)-MEDIAN('planning '!$H440,J$1,J$2)))</f>
        <v>0</v>
      </c>
      <c r="K439" s="237"/>
      <c r="M439" s="17"/>
      <c r="N439" s="17"/>
      <c r="O439" s="17"/>
      <c r="P439" s="17"/>
      <c r="Q439" s="17"/>
    </row>
    <row r="440" spans="2:17" ht="15.75" thickBot="1" x14ac:dyDescent="0.3">
      <c r="B440" s="231" t="str">
        <f>'planning '!F441</f>
        <v>off</v>
      </c>
      <c r="C440" s="232">
        <f t="shared" si="87"/>
        <v>44137</v>
      </c>
      <c r="D440" s="233">
        <f>IF(OR('planning '!$H441="",'planning '!$J441=""),0,IF('planning '!$J441&gt;'planning '!$H441,MEDIAN('planning '!$J441,D$2,D$1)-MEDIAN('planning '!$H441,D$2,D$1),+('planning '!$J441&lt;'planning '!$H441)*(D$2-D$1)+MEDIAN('planning '!$J441,D$1,D$2)-MEDIAN('planning '!$H441,D$1,D$2)))-'planning '!V441</f>
        <v>0</v>
      </c>
      <c r="E440" s="241"/>
      <c r="F440" s="235">
        <f>IF(OR('planning '!$H441="",'planning '!$J441=""),0,IF('planning '!$J441&gt;'planning '!$H441,MEDIAN('planning '!$J441,F$2,F$1)-MEDIAN('planning '!$H441,F$2,F$1),+('planning '!$J441&lt;'planning '!$H441)*(F$2-F$1)+MEDIAN('planning '!$J441,F$1,F$2)-MEDIAN('planning '!$H441,F$1,F$2)))-'planning '!AA441</f>
        <v>0</v>
      </c>
      <c r="G440" s="238"/>
      <c r="H440" s="235">
        <f>IF(OR('planning '!$H441="",'planning '!$J441=""),0,IF('planning '!$J441&gt;'planning '!$H441,MEDIAN('planning '!$J441,H$2,H$1)-MEDIAN('planning '!$H441,H$2,H$1),+('planning '!$J441&lt;'planning '!$H441)*(H$2-H$1)+MEDIAN('planning '!$J441,H$1,H$2)-MEDIAN('planning '!$H441,H$1,H$2)))</f>
        <v>0</v>
      </c>
      <c r="I440" s="238"/>
      <c r="J440" s="234">
        <f>IF(OR('planning '!$H441="",'planning '!$J441=""),0,IF('planning '!$J441&gt;'planning '!$H441,MEDIAN('planning '!$J441,J$2,J$1)-MEDIAN('planning '!$H441,J$2,J$1),+('planning '!$J441&lt;'planning '!$H441)*(J$2-J$1)+MEDIAN('planning '!$J441,J$1,J$2)-MEDIAN('planning '!$H441,J$1,J$2)))</f>
        <v>0</v>
      </c>
      <c r="K440" s="238"/>
      <c r="M440" s="17"/>
      <c r="N440" s="17"/>
      <c r="O440" s="17"/>
      <c r="P440" s="17"/>
      <c r="Q440" s="17"/>
    </row>
    <row r="441" spans="2:17" x14ac:dyDescent="0.25">
      <c r="M441" s="17"/>
      <c r="N441" s="17"/>
      <c r="O441" s="17"/>
      <c r="P441" s="17"/>
      <c r="Q441" s="17"/>
    </row>
    <row r="442" spans="2:17" x14ac:dyDescent="0.25">
      <c r="M442" s="17"/>
      <c r="N442" s="17"/>
      <c r="O442" s="17"/>
      <c r="P442" s="17"/>
      <c r="Q442" s="17"/>
    </row>
    <row r="443" spans="2:17" ht="15.75" thickBot="1" x14ac:dyDescent="0.3">
      <c r="M443" s="17"/>
      <c r="N443" s="17"/>
      <c r="O443" s="17"/>
      <c r="P443" s="17"/>
      <c r="Q443" s="17"/>
    </row>
    <row r="444" spans="2:17" x14ac:dyDescent="0.25">
      <c r="B444" s="231" t="str">
        <f>'planning '!F445</f>
        <v>travail</v>
      </c>
      <c r="C444" s="232">
        <f>'planning '!E445</f>
        <v>44138</v>
      </c>
      <c r="D444" s="233"/>
      <c r="E444" s="239"/>
      <c r="F444" s="235">
        <f>IF(OR('planning '!$H445="",'planning '!$J445=""),0,IF('planning '!$J445&gt;'planning '!$H445,MEDIAN('planning '!$J445,F$2,F$1)-MEDIAN('planning '!$H445,F$2,F$1),+('planning '!$J445&lt;'planning '!$H445)*(F$2-F$1)+MEDIAN('planning '!$J445,F$1,F$2)-MEDIAN('planning '!$H445,F$1,F$2)))-'planning '!AA445</f>
        <v>0</v>
      </c>
      <c r="G444" s="236"/>
      <c r="H444" s="235">
        <f>IF(OR('planning '!$H445="",'planning '!$J445=""),0,IF('planning '!$J445&gt;'planning '!$H445,MEDIAN('planning '!$J445,H$2,H$1)-MEDIAN('planning '!$H445,H$2,H$1),+('planning '!$J445&lt;'planning '!$H445)*(H$2-H$1)+MEDIAN('planning '!$J445,H$1,H$2)-MEDIAN('planning '!$H445,H$1,H$2)))</f>
        <v>0</v>
      </c>
      <c r="I444" s="236"/>
      <c r="J444" s="234">
        <f>IF(OR('planning '!$H445="",'planning '!$J445=""),0,IF('planning '!$J445&gt;'planning '!$H445,MEDIAN('planning '!$J445,J$2,J$1)-MEDIAN('planning '!$H445,J$2,J$1),+('planning '!$J445&lt;'planning '!$H445)*(J$2-J$1)+MEDIAN('planning '!$J445,J$1,J$2)-MEDIAN('planning '!$H445,J$1,J$2)))</f>
        <v>0.33333333333333337</v>
      </c>
      <c r="K444" s="236"/>
      <c r="M444" s="17"/>
      <c r="N444" s="264"/>
      <c r="O444" s="265" t="s">
        <v>114</v>
      </c>
      <c r="P444" s="266"/>
      <c r="Q444" s="17"/>
    </row>
    <row r="445" spans="2:17" x14ac:dyDescent="0.25">
      <c r="B445" s="231" t="str">
        <f>'planning '!F446</f>
        <v>travail</v>
      </c>
      <c r="C445" s="232">
        <f>C444+1</f>
        <v>44139</v>
      </c>
      <c r="D445" s="233"/>
      <c r="E445" s="240"/>
      <c r="F445" s="235">
        <f>IF(OR('planning '!$H446="",'planning '!$J446=""),0,IF('planning '!$J446&gt;'planning '!$H446,MEDIAN('planning '!$J446,F$2,F$1)-MEDIAN('planning '!$H446,F$2,F$1),+('planning '!$J446&lt;'planning '!$H446)*(F$2-F$1)+MEDIAN('planning '!$J446,F$1,F$2)-MEDIAN('planning '!$H446,F$1,F$2)))-'planning '!AA446</f>
        <v>0</v>
      </c>
      <c r="G445" s="237"/>
      <c r="H445" s="235">
        <f>IF(OR('planning '!$H446="",'planning '!$J446=""),0,IF('planning '!$J446&gt;'planning '!$H446,MEDIAN('planning '!$J446,H$2,H$1)-MEDIAN('planning '!$H446,H$2,H$1),+('planning '!$J446&lt;'planning '!$H446)*(H$2-H$1)+MEDIAN('planning '!$J446,H$1,H$2)-MEDIAN('planning '!$H446,H$1,H$2)))</f>
        <v>0</v>
      </c>
      <c r="I445" s="237"/>
      <c r="J445" s="234">
        <f>IF(OR('planning '!$H446="",'planning '!$J446=""),0,IF('planning '!$J446&gt;'planning '!$H446,MEDIAN('planning '!$J446,J$2,J$1)-MEDIAN('planning '!$H446,J$2,J$1),+('planning '!$J446&lt;'planning '!$H446)*(J$2-J$1)+MEDIAN('planning '!$J446,J$1,J$2)-MEDIAN('planning '!$H446,J$1,J$2)))</f>
        <v>0.33333333333333337</v>
      </c>
      <c r="K445" s="237"/>
      <c r="M445" s="17"/>
      <c r="N445" s="263" t="s">
        <v>117</v>
      </c>
      <c r="O445" s="263" t="s">
        <v>115</v>
      </c>
      <c r="P445" s="263" t="s">
        <v>116</v>
      </c>
      <c r="Q445" s="243" t="s">
        <v>118</v>
      </c>
    </row>
    <row r="446" spans="2:17" x14ac:dyDescent="0.25">
      <c r="B446" s="231" t="str">
        <f>'planning '!F447</f>
        <v>travail</v>
      </c>
      <c r="C446" s="232">
        <f>C445+1</f>
        <v>44140</v>
      </c>
      <c r="D446" s="233"/>
      <c r="E446" s="240"/>
      <c r="F446" s="235">
        <f>IF(OR('planning '!$H447="",'planning '!$J447=""),0,IF('planning '!$J447&gt;'planning '!$H447,MEDIAN('planning '!$J447,F$2,F$1)-MEDIAN('planning '!$H447,F$2,F$1),+('planning '!$J447&lt;'planning '!$H447)*(F$2-F$1)+MEDIAN('planning '!$J447,F$1,F$2)-MEDIAN('planning '!$H447,F$1,F$2)))-'planning '!AA447</f>
        <v>0</v>
      </c>
      <c r="G446" s="237"/>
      <c r="H446" s="235">
        <f>IF(OR('planning '!$H447="",'planning '!$J447=""),0,IF('planning '!$J447&gt;'planning '!$H447,MEDIAN('planning '!$J447,H$2,H$1)-MEDIAN('planning '!$H447,H$2,H$1),+('planning '!$J447&lt;'planning '!$H447)*(H$2-H$1)+MEDIAN('planning '!$J447,H$1,H$2)-MEDIAN('planning '!$H447,H$1,H$2)))</f>
        <v>0</v>
      </c>
      <c r="I446" s="237"/>
      <c r="J446" s="234">
        <f>IF(OR('planning '!$H447="",'planning '!$J447=""),0,IF('planning '!$J447&gt;'planning '!$H447,MEDIAN('planning '!$J447,J$2,J$1)-MEDIAN('planning '!$H447,J$2,J$1),+('planning '!$J447&lt;'planning '!$H447)*(J$2-J$1)+MEDIAN('planning '!$J447,J$1,J$2)-MEDIAN('planning '!$H447,J$1,J$2)))</f>
        <v>0.33333333333333337</v>
      </c>
      <c r="K446" s="237"/>
      <c r="M446" s="231" t="s">
        <v>111</v>
      </c>
      <c r="N446" s="261">
        <f t="shared" ref="N446:Q447" ca="1" si="88">SUMIF(OFFSET($C444:$C451,0,MATCH(N$10,$B$5:$H$5,0)-1,7,1),$K447,OFFSET($B444:$B450,0,MATCH(N$10,$B$5:$H$5,0)-1,7,1))</f>
        <v>0</v>
      </c>
      <c r="O446" s="261">
        <f t="shared" ca="1" si="88"/>
        <v>0</v>
      </c>
      <c r="P446" s="261">
        <f t="shared" ca="1" si="88"/>
        <v>0</v>
      </c>
      <c r="Q446" s="261">
        <f t="shared" ca="1" si="88"/>
        <v>0</v>
      </c>
    </row>
    <row r="447" spans="2:17" x14ac:dyDescent="0.25">
      <c r="B447" s="231" t="str">
        <f>'planning '!F448</f>
        <v>travail</v>
      </c>
      <c r="C447" s="232">
        <f t="shared" ref="C447:C450" si="89">C446+1</f>
        <v>44141</v>
      </c>
      <c r="D447" s="233"/>
      <c r="E447" s="240"/>
      <c r="F447" s="235">
        <f>IF(OR('planning '!$H448="",'planning '!$J448=""),0,IF('planning '!$J448&gt;'planning '!$H448,MEDIAN('planning '!$J448,F$2,F$1)-MEDIAN('planning '!$H448,F$2,F$1),+('planning '!$J448&lt;'planning '!$H448)*(F$2-F$1)+MEDIAN('planning '!$J448,F$1,F$2)-MEDIAN('planning '!$H448,F$1,F$2)))-'planning '!AA448</f>
        <v>0</v>
      </c>
      <c r="G447" s="237"/>
      <c r="H447" s="235">
        <f>IF(OR('planning '!$H448="",'planning '!$J448=""),0,IF('planning '!$J448&gt;'planning '!$H448,MEDIAN('planning '!$J448,H$2,H$1)-MEDIAN('planning '!$H448,H$2,H$1),+('planning '!$J448&lt;'planning '!$H448)*(H$2-H$1)+MEDIAN('planning '!$J448,H$1,H$2)-MEDIAN('planning '!$H448,H$1,H$2)))</f>
        <v>0</v>
      </c>
      <c r="I447" s="237"/>
      <c r="J447" s="234">
        <f>IF(OR('planning '!$H448="",'planning '!$J448=""),0,IF('planning '!$J448&gt;'planning '!$H448,MEDIAN('planning '!$J448,J$2,J$1)-MEDIAN('planning '!$H448,J$2,J$1),+('planning '!$J448&lt;'planning '!$H448)*(J$2-J$1)+MEDIAN('planning '!$J448,J$1,J$2)-MEDIAN('planning '!$H448,J$1,J$2)))</f>
        <v>0.33333333333333337</v>
      </c>
      <c r="K447" s="237"/>
      <c r="M447" s="231" t="s">
        <v>21</v>
      </c>
      <c r="N447" s="261">
        <f t="shared" ca="1" si="88"/>
        <v>0</v>
      </c>
      <c r="O447" s="261">
        <f t="shared" ca="1" si="88"/>
        <v>0</v>
      </c>
      <c r="P447" s="261">
        <f t="shared" ca="1" si="88"/>
        <v>0</v>
      </c>
      <c r="Q447" s="261">
        <f t="shared" ca="1" si="88"/>
        <v>0</v>
      </c>
    </row>
    <row r="448" spans="2:17" x14ac:dyDescent="0.25">
      <c r="B448" s="231" t="str">
        <f>'planning '!F449</f>
        <v>travail</v>
      </c>
      <c r="C448" s="232">
        <f t="shared" si="89"/>
        <v>44142</v>
      </c>
      <c r="D448" s="233"/>
      <c r="E448" s="240"/>
      <c r="F448" s="235">
        <f>IF(OR('planning '!$H449="",'planning '!$J449=""),0,IF('planning '!$J449&gt;'planning '!$H449,MEDIAN('planning '!$J449,F$2,F$1)-MEDIAN('planning '!$H449,F$2,F$1),+('planning '!$J449&lt;'planning '!$H449)*(F$2-F$1)+MEDIAN('planning '!$J449,F$1,F$2)-MEDIAN('planning '!$H449,F$1,F$2)))-'planning '!AA449</f>
        <v>0</v>
      </c>
      <c r="G448" s="237"/>
      <c r="H448" s="235">
        <f>IF(OR('planning '!$H449="",'planning '!$J449=""),0,IF('planning '!$J449&gt;'planning '!$H449,MEDIAN('planning '!$J449,H$2,H$1)-MEDIAN('planning '!$H449,H$2,H$1),+('planning '!$J449&lt;'planning '!$H449)*(H$2-H$1)+MEDIAN('planning '!$J449,H$1,H$2)-MEDIAN('planning '!$H449,H$1,H$2)))</f>
        <v>0</v>
      </c>
      <c r="I448" s="237"/>
      <c r="J448" s="234">
        <f>IF(OR('planning '!$H449="",'planning '!$J449=""),0,IF('planning '!$J449&gt;'planning '!$H449,MEDIAN('planning '!$J449,J$2,J$1)-MEDIAN('planning '!$H449,J$2,J$1),+('planning '!$J449&lt;'planning '!$H449)*(J$2-J$1)+MEDIAN('planning '!$J449,J$1,J$2)-MEDIAN('planning '!$H449,J$1,J$2)))</f>
        <v>0.33333333333333337</v>
      </c>
      <c r="K448" s="237"/>
      <c r="M448" s="17"/>
      <c r="N448" s="17"/>
      <c r="O448" s="17"/>
      <c r="P448" s="17"/>
      <c r="Q448" s="17"/>
    </row>
    <row r="449" spans="2:17" x14ac:dyDescent="0.25">
      <c r="B449" s="231" t="str">
        <f>'planning '!F450</f>
        <v>off</v>
      </c>
      <c r="C449" s="232">
        <f t="shared" si="89"/>
        <v>44143</v>
      </c>
      <c r="D449" s="233">
        <f>IF(OR('planning '!$H450="",'planning '!$J450=""),0,IF('planning '!$J450&gt;'planning '!$H450,MEDIAN('planning '!$J450,D$2,D$1)-MEDIAN('planning '!$H450,D$2,D$1),+('planning '!$J450&lt;'planning '!$H450)*(D$2-D$1)+MEDIAN('planning '!$J450,D$1,D$2)-MEDIAN('planning '!$H450,D$1,D$2)))-'planning '!V450</f>
        <v>0</v>
      </c>
      <c r="E449" s="240"/>
      <c r="F449" s="235">
        <f>IF(OR('planning '!$H450="",'planning '!$J450=""),0,IF('planning '!$J450&gt;'planning '!$H450,MEDIAN('planning '!$J450,F$2,F$1)-MEDIAN('planning '!$H450,F$2,F$1),+('planning '!$J450&lt;'planning '!$H450)*(F$2-F$1)+MEDIAN('planning '!$J450,F$1,F$2)-MEDIAN('planning '!$H450,F$1,F$2)))-'planning '!AA450</f>
        <v>0</v>
      </c>
      <c r="G449" s="237"/>
      <c r="H449" s="235">
        <f>IF(OR('planning '!$H450="",'planning '!$J450=""),0,IF('planning '!$J450&gt;'planning '!$H450,MEDIAN('planning '!$J450,H$2,H$1)-MEDIAN('planning '!$H450,H$2,H$1),+('planning '!$J450&lt;'planning '!$H450)*(H$2-H$1)+MEDIAN('planning '!$J450,H$1,H$2)-MEDIAN('planning '!$H450,H$1,H$2)))</f>
        <v>0</v>
      </c>
      <c r="I449" s="237"/>
      <c r="J449" s="234">
        <f>IF(OR('planning '!$H450="",'planning '!$J450=""),0,IF('planning '!$J450&gt;'planning '!$H450,MEDIAN('planning '!$J450,J$2,J$1)-MEDIAN('planning '!$H450,J$2,J$1),+('planning '!$J450&lt;'planning '!$H450)*(J$2-J$1)+MEDIAN('planning '!$J450,J$1,J$2)-MEDIAN('planning '!$H450,J$1,J$2)))</f>
        <v>0</v>
      </c>
      <c r="K449" s="237"/>
      <c r="M449" s="17"/>
      <c r="N449" s="17"/>
      <c r="O449" s="17"/>
      <c r="P449" s="17"/>
      <c r="Q449" s="17"/>
    </row>
    <row r="450" spans="2:17" ht="15.75" thickBot="1" x14ac:dyDescent="0.3">
      <c r="B450" s="231" t="str">
        <f>'planning '!F451</f>
        <v>off</v>
      </c>
      <c r="C450" s="232">
        <f t="shared" si="89"/>
        <v>44144</v>
      </c>
      <c r="D450" s="233">
        <f>IF(OR('planning '!$H451="",'planning '!$J451=""),0,IF('planning '!$J451&gt;'planning '!$H451,MEDIAN('planning '!$J451,D$2,D$1)-MEDIAN('planning '!$H451,D$2,D$1),+('planning '!$J451&lt;'planning '!$H451)*(D$2-D$1)+MEDIAN('planning '!$J451,D$1,D$2)-MEDIAN('planning '!$H451,D$1,D$2)))-'planning '!V451</f>
        <v>0</v>
      </c>
      <c r="E450" s="241"/>
      <c r="F450" s="235">
        <f>IF(OR('planning '!$H451="",'planning '!$J451=""),0,IF('planning '!$J451&gt;'planning '!$H451,MEDIAN('planning '!$J451,F$2,F$1)-MEDIAN('planning '!$H451,F$2,F$1),+('planning '!$J451&lt;'planning '!$H451)*(F$2-F$1)+MEDIAN('planning '!$J451,F$1,F$2)-MEDIAN('planning '!$H451,F$1,F$2)))-'planning '!AA451</f>
        <v>0</v>
      </c>
      <c r="G450" s="238"/>
      <c r="H450" s="235">
        <f>IF(OR('planning '!$H451="",'planning '!$J451=""),0,IF('planning '!$J451&gt;'planning '!$H451,MEDIAN('planning '!$J451,H$2,H$1)-MEDIAN('planning '!$H451,H$2,H$1),+('planning '!$J451&lt;'planning '!$H451)*(H$2-H$1)+MEDIAN('planning '!$J451,H$1,H$2)-MEDIAN('planning '!$H451,H$1,H$2)))</f>
        <v>0</v>
      </c>
      <c r="I450" s="238"/>
      <c r="J450" s="234">
        <f>IF(OR('planning '!$H451="",'planning '!$J451=""),0,IF('planning '!$J451&gt;'planning '!$H451,MEDIAN('planning '!$J451,J$2,J$1)-MEDIAN('planning '!$H451,J$2,J$1),+('planning '!$J451&lt;'planning '!$H451)*(J$2-J$1)+MEDIAN('planning '!$J451,J$1,J$2)-MEDIAN('planning '!$H451,J$1,J$2)))</f>
        <v>0</v>
      </c>
      <c r="K450" s="238"/>
      <c r="M450" s="17"/>
      <c r="N450" s="17"/>
      <c r="O450" s="17"/>
      <c r="P450" s="17"/>
      <c r="Q450" s="17"/>
    </row>
    <row r="451" spans="2:17" x14ac:dyDescent="0.25">
      <c r="M451" s="17"/>
      <c r="N451" s="17"/>
      <c r="O451" s="17"/>
      <c r="P451" s="17"/>
      <c r="Q451" s="17"/>
    </row>
    <row r="452" spans="2:17" x14ac:dyDescent="0.25">
      <c r="M452" s="17"/>
      <c r="N452" s="17"/>
      <c r="O452" s="17"/>
      <c r="P452" s="17"/>
      <c r="Q452" s="17"/>
    </row>
    <row r="453" spans="2:17" ht="15.75" thickBot="1" x14ac:dyDescent="0.3">
      <c r="M453" s="17"/>
      <c r="N453" s="17"/>
      <c r="O453" s="17"/>
      <c r="P453" s="17"/>
      <c r="Q453" s="17"/>
    </row>
    <row r="454" spans="2:17" x14ac:dyDescent="0.25">
      <c r="B454" s="231" t="str">
        <f>'planning '!F455</f>
        <v xml:space="preserve">férié </v>
      </c>
      <c r="C454" s="232">
        <f>'planning '!E455</f>
        <v>44145</v>
      </c>
      <c r="D454" s="233"/>
      <c r="E454" s="239"/>
      <c r="F454" s="235">
        <f>IF(OR('planning '!$H455="",'planning '!$J455=""),0,IF('planning '!$J455&gt;'planning '!$H455,MEDIAN('planning '!$J455,F$2,F$1)-MEDIAN('planning '!$H455,F$2,F$1),+('planning '!$J455&lt;'planning '!$H455)*(F$2-F$1)+MEDIAN('planning '!$J455,F$1,F$2)-MEDIAN('planning '!$H455,F$1,F$2)))-'planning '!AA455</f>
        <v>0</v>
      </c>
      <c r="G454" s="236"/>
      <c r="H454" s="235">
        <f>IF(OR('planning '!$H455="",'planning '!$J455=""),0,IF('planning '!$J455&gt;'planning '!$H455,MEDIAN('planning '!$J455,H$2,H$1)-MEDIAN('planning '!$H455,H$2,H$1),+('planning '!$J455&lt;'planning '!$H455)*(H$2-H$1)+MEDIAN('planning '!$J455,H$1,H$2)-MEDIAN('planning '!$H455,H$1,H$2)))</f>
        <v>0</v>
      </c>
      <c r="I454" s="236"/>
      <c r="J454" s="234">
        <f>IF(OR('planning '!$H455="",'planning '!$J455=""),0,IF('planning '!$J455&gt;'planning '!$H455,MEDIAN('planning '!$J455,J$2,J$1)-MEDIAN('planning '!$H455,J$2,J$1),+('planning '!$J455&lt;'planning '!$H455)*(J$2-J$1)+MEDIAN('planning '!$J455,J$1,J$2)-MEDIAN('planning '!$H455,J$1,J$2)))</f>
        <v>0</v>
      </c>
      <c r="K454" s="236"/>
      <c r="M454" s="17"/>
      <c r="N454" s="264"/>
      <c r="O454" s="265" t="s">
        <v>114</v>
      </c>
      <c r="P454" s="266"/>
      <c r="Q454" s="17"/>
    </row>
    <row r="455" spans="2:17" x14ac:dyDescent="0.25">
      <c r="B455" s="231" t="str">
        <f>'planning '!F456</f>
        <v>travail</v>
      </c>
      <c r="C455" s="232">
        <f>C454+1</f>
        <v>44146</v>
      </c>
      <c r="D455" s="233"/>
      <c r="E455" s="240"/>
      <c r="F455" s="235">
        <f>IF(OR('planning '!$H456="",'planning '!$J456=""),0,IF('planning '!$J456&gt;'planning '!$H456,MEDIAN('planning '!$J456,F$2,F$1)-MEDIAN('planning '!$H456,F$2,F$1),+('planning '!$J456&lt;'planning '!$H456)*(F$2-F$1)+MEDIAN('planning '!$J456,F$1,F$2)-MEDIAN('planning '!$H456,F$1,F$2)))-'planning '!AA456</f>
        <v>0</v>
      </c>
      <c r="G455" s="237"/>
      <c r="H455" s="235">
        <f>IF(OR('planning '!$H456="",'planning '!$J456=""),0,IF('planning '!$J456&gt;'planning '!$H456,MEDIAN('planning '!$J456,H$2,H$1)-MEDIAN('planning '!$H456,H$2,H$1),+('planning '!$J456&lt;'planning '!$H456)*(H$2-H$1)+MEDIAN('planning '!$J456,H$1,H$2)-MEDIAN('planning '!$H456,H$1,H$2)))</f>
        <v>0</v>
      </c>
      <c r="I455" s="237"/>
      <c r="J455" s="234">
        <f>IF(OR('planning '!$H456="",'planning '!$J456=""),0,IF('planning '!$J456&gt;'planning '!$H456,MEDIAN('planning '!$J456,J$2,J$1)-MEDIAN('planning '!$H456,J$2,J$1),+('planning '!$J456&lt;'planning '!$H456)*(J$2-J$1)+MEDIAN('planning '!$J456,J$1,J$2)-MEDIAN('planning '!$H456,J$1,J$2)))</f>
        <v>0.33333333333333337</v>
      </c>
      <c r="K455" s="237"/>
      <c r="M455" s="17"/>
      <c r="N455" s="263" t="s">
        <v>117</v>
      </c>
      <c r="O455" s="263" t="s">
        <v>115</v>
      </c>
      <c r="P455" s="263" t="s">
        <v>116</v>
      </c>
      <c r="Q455" s="243" t="s">
        <v>118</v>
      </c>
    </row>
    <row r="456" spans="2:17" x14ac:dyDescent="0.25">
      <c r="B456" s="231" t="str">
        <f>'planning '!F457</f>
        <v>travail</v>
      </c>
      <c r="C456" s="232">
        <f>C455+1</f>
        <v>44147</v>
      </c>
      <c r="D456" s="233"/>
      <c r="E456" s="240"/>
      <c r="F456" s="235">
        <f>IF(OR('planning '!$H457="",'planning '!$J457=""),0,IF('planning '!$J457&gt;'planning '!$H457,MEDIAN('planning '!$J457,F$2,F$1)-MEDIAN('planning '!$H457,F$2,F$1),+('planning '!$J457&lt;'planning '!$H457)*(F$2-F$1)+MEDIAN('planning '!$J457,F$1,F$2)-MEDIAN('planning '!$H457,F$1,F$2)))-'planning '!AA457</f>
        <v>0</v>
      </c>
      <c r="G456" s="237"/>
      <c r="H456" s="235">
        <f>IF(OR('planning '!$H457="",'planning '!$J457=""),0,IF('planning '!$J457&gt;'planning '!$H457,MEDIAN('planning '!$J457,H$2,H$1)-MEDIAN('planning '!$H457,H$2,H$1),+('planning '!$J457&lt;'planning '!$H457)*(H$2-H$1)+MEDIAN('planning '!$J457,H$1,H$2)-MEDIAN('planning '!$H457,H$1,H$2)))</f>
        <v>0</v>
      </c>
      <c r="I456" s="237"/>
      <c r="J456" s="234">
        <f>IF(OR('planning '!$H457="",'planning '!$J457=""),0,IF('planning '!$J457&gt;'planning '!$H457,MEDIAN('planning '!$J457,J$2,J$1)-MEDIAN('planning '!$H457,J$2,J$1),+('planning '!$J457&lt;'planning '!$H457)*(J$2-J$1)+MEDIAN('planning '!$J457,J$1,J$2)-MEDIAN('planning '!$H457,J$1,J$2)))</f>
        <v>0.33333333333333337</v>
      </c>
      <c r="K456" s="237"/>
      <c r="M456" s="231" t="s">
        <v>111</v>
      </c>
      <c r="N456" s="261">
        <f t="shared" ref="N456:Q457" ca="1" si="90">SUMIF(OFFSET($C454:$C461,0,MATCH(N$10,$B$5:$H$5,0)-1,7,1),$K457,OFFSET($B454:$B460,0,MATCH(N$10,$B$5:$H$5,0)-1,7,1))</f>
        <v>0</v>
      </c>
      <c r="O456" s="261">
        <f t="shared" ca="1" si="90"/>
        <v>0</v>
      </c>
      <c r="P456" s="261">
        <f t="shared" ca="1" si="90"/>
        <v>0</v>
      </c>
      <c r="Q456" s="261">
        <f t="shared" ca="1" si="90"/>
        <v>0</v>
      </c>
    </row>
    <row r="457" spans="2:17" x14ac:dyDescent="0.25">
      <c r="B457" s="231" t="str">
        <f>'planning '!F458</f>
        <v>travail</v>
      </c>
      <c r="C457" s="232">
        <f t="shared" ref="C457:C460" si="91">C456+1</f>
        <v>44148</v>
      </c>
      <c r="D457" s="233"/>
      <c r="E457" s="240"/>
      <c r="F457" s="235">
        <f>IF(OR('planning '!$H458="",'planning '!$J458=""),0,IF('planning '!$J458&gt;'planning '!$H458,MEDIAN('planning '!$J458,F$2,F$1)-MEDIAN('planning '!$H458,F$2,F$1),+('planning '!$J458&lt;'planning '!$H458)*(F$2-F$1)+MEDIAN('planning '!$J458,F$1,F$2)-MEDIAN('planning '!$H458,F$1,F$2)))-'planning '!AA458</f>
        <v>0</v>
      </c>
      <c r="G457" s="237"/>
      <c r="H457" s="235">
        <f>IF(OR('planning '!$H458="",'planning '!$J458=""),0,IF('planning '!$J458&gt;'planning '!$H458,MEDIAN('planning '!$J458,H$2,H$1)-MEDIAN('planning '!$H458,H$2,H$1),+('planning '!$J458&lt;'planning '!$H458)*(H$2-H$1)+MEDIAN('planning '!$J458,H$1,H$2)-MEDIAN('planning '!$H458,H$1,H$2)))</f>
        <v>0</v>
      </c>
      <c r="I457" s="237"/>
      <c r="J457" s="234">
        <f>IF(OR('planning '!$H458="",'planning '!$J458=""),0,IF('planning '!$J458&gt;'planning '!$H458,MEDIAN('planning '!$J458,J$2,J$1)-MEDIAN('planning '!$H458,J$2,J$1),+('planning '!$J458&lt;'planning '!$H458)*(J$2-J$1)+MEDIAN('planning '!$J458,J$1,J$2)-MEDIAN('planning '!$H458,J$1,J$2)))</f>
        <v>0.33333333333333337</v>
      </c>
      <c r="K457" s="237"/>
      <c r="M457" s="231" t="s">
        <v>21</v>
      </c>
      <c r="N457" s="261">
        <f t="shared" ca="1" si="90"/>
        <v>0</v>
      </c>
      <c r="O457" s="261">
        <f t="shared" ca="1" si="90"/>
        <v>0</v>
      </c>
      <c r="P457" s="261">
        <f t="shared" ca="1" si="90"/>
        <v>0</v>
      </c>
      <c r="Q457" s="261">
        <f t="shared" ca="1" si="90"/>
        <v>0</v>
      </c>
    </row>
    <row r="458" spans="2:17" x14ac:dyDescent="0.25">
      <c r="B458" s="231" t="str">
        <f>'planning '!F459</f>
        <v>travail</v>
      </c>
      <c r="C458" s="232">
        <f t="shared" si="91"/>
        <v>44149</v>
      </c>
      <c r="D458" s="233"/>
      <c r="E458" s="240"/>
      <c r="F458" s="235">
        <f>IF(OR('planning '!$H459="",'planning '!$J459=""),0,IF('planning '!$J459&gt;'planning '!$H459,MEDIAN('planning '!$J459,F$2,F$1)-MEDIAN('planning '!$H459,F$2,F$1),+('planning '!$J459&lt;'planning '!$H459)*(F$2-F$1)+MEDIAN('planning '!$J459,F$1,F$2)-MEDIAN('planning '!$H459,F$1,F$2)))-'planning '!AA459</f>
        <v>0</v>
      </c>
      <c r="G458" s="237"/>
      <c r="H458" s="235">
        <f>IF(OR('planning '!$H459="",'planning '!$J459=""),0,IF('planning '!$J459&gt;'planning '!$H459,MEDIAN('planning '!$J459,H$2,H$1)-MEDIAN('planning '!$H459,H$2,H$1),+('planning '!$J459&lt;'planning '!$H459)*(H$2-H$1)+MEDIAN('planning '!$J459,H$1,H$2)-MEDIAN('planning '!$H459,H$1,H$2)))</f>
        <v>0</v>
      </c>
      <c r="I458" s="237"/>
      <c r="J458" s="234">
        <f>IF(OR('planning '!$H459="",'planning '!$J459=""),0,IF('planning '!$J459&gt;'planning '!$H459,MEDIAN('planning '!$J459,J$2,J$1)-MEDIAN('planning '!$H459,J$2,J$1),+('planning '!$J459&lt;'planning '!$H459)*(J$2-J$1)+MEDIAN('planning '!$J459,J$1,J$2)-MEDIAN('planning '!$H459,J$1,J$2)))</f>
        <v>0.33333333333333337</v>
      </c>
      <c r="K458" s="237"/>
      <c r="M458" s="17"/>
      <c r="N458" s="17"/>
      <c r="O458" s="17"/>
      <c r="P458" s="17"/>
      <c r="Q458" s="17"/>
    </row>
    <row r="459" spans="2:17" x14ac:dyDescent="0.25">
      <c r="B459" s="231" t="str">
        <f>'planning '!F460</f>
        <v>off</v>
      </c>
      <c r="C459" s="232">
        <f t="shared" si="91"/>
        <v>44150</v>
      </c>
      <c r="D459" s="233">
        <f>IF(OR('planning '!$H460="",'planning '!$J460=""),0,IF('planning '!$J460&gt;'planning '!$H460,MEDIAN('planning '!$J460,D$2,D$1)-MEDIAN('planning '!$H460,D$2,D$1),+('planning '!$J460&lt;'planning '!$H460)*(D$2-D$1)+MEDIAN('planning '!$J460,D$1,D$2)-MEDIAN('planning '!$H460,D$1,D$2)))-'planning '!V460</f>
        <v>0</v>
      </c>
      <c r="E459" s="240"/>
      <c r="F459" s="235">
        <f>IF(OR('planning '!$H460="",'planning '!$J460=""),0,IF('planning '!$J460&gt;'planning '!$H460,MEDIAN('planning '!$J460,F$2,F$1)-MEDIAN('planning '!$H460,F$2,F$1),+('planning '!$J460&lt;'planning '!$H460)*(F$2-F$1)+MEDIAN('planning '!$J460,F$1,F$2)-MEDIAN('planning '!$H460,F$1,F$2)))-'planning '!AA460</f>
        <v>0</v>
      </c>
      <c r="G459" s="237"/>
      <c r="H459" s="235">
        <f>IF(OR('planning '!$H460="",'planning '!$J460=""),0,IF('planning '!$J460&gt;'planning '!$H460,MEDIAN('planning '!$J460,H$2,H$1)-MEDIAN('planning '!$H460,H$2,H$1),+('planning '!$J460&lt;'planning '!$H460)*(H$2-H$1)+MEDIAN('planning '!$J460,H$1,H$2)-MEDIAN('planning '!$H460,H$1,H$2)))</f>
        <v>0</v>
      </c>
      <c r="I459" s="237"/>
      <c r="J459" s="234">
        <f>IF(OR('planning '!$H460="",'planning '!$J460=""),0,IF('planning '!$J460&gt;'planning '!$H460,MEDIAN('planning '!$J460,J$2,J$1)-MEDIAN('planning '!$H460,J$2,J$1),+('planning '!$J460&lt;'planning '!$H460)*(J$2-J$1)+MEDIAN('planning '!$J460,J$1,J$2)-MEDIAN('planning '!$H460,J$1,J$2)))</f>
        <v>0</v>
      </c>
      <c r="K459" s="237"/>
      <c r="M459" s="17"/>
      <c r="N459" s="17"/>
      <c r="O459" s="17"/>
      <c r="P459" s="17"/>
      <c r="Q459" s="17"/>
    </row>
    <row r="460" spans="2:17" ht="15.75" thickBot="1" x14ac:dyDescent="0.3">
      <c r="B460" s="231" t="str">
        <f>'planning '!F461</f>
        <v>off</v>
      </c>
      <c r="C460" s="232">
        <f t="shared" si="91"/>
        <v>44151</v>
      </c>
      <c r="D460" s="233">
        <f>IF(OR('planning '!$H461="",'planning '!$J461=""),0,IF('planning '!$J461&gt;'planning '!$H461,MEDIAN('planning '!$J461,D$2,D$1)-MEDIAN('planning '!$H461,D$2,D$1),+('planning '!$J461&lt;'planning '!$H461)*(D$2-D$1)+MEDIAN('planning '!$J461,D$1,D$2)-MEDIAN('planning '!$H461,D$1,D$2)))-'planning '!V461</f>
        <v>0</v>
      </c>
      <c r="E460" s="241"/>
      <c r="F460" s="235">
        <f>IF(OR('planning '!$H461="",'planning '!$J461=""),0,IF('planning '!$J461&gt;'planning '!$H461,MEDIAN('planning '!$J461,F$2,F$1)-MEDIAN('planning '!$H461,F$2,F$1),+('planning '!$J461&lt;'planning '!$H461)*(F$2-F$1)+MEDIAN('planning '!$J461,F$1,F$2)-MEDIAN('planning '!$H461,F$1,F$2)))-'planning '!AA461</f>
        <v>0</v>
      </c>
      <c r="G460" s="238"/>
      <c r="H460" s="235">
        <f>IF(OR('planning '!$H461="",'planning '!$J461=""),0,IF('planning '!$J461&gt;'planning '!$H461,MEDIAN('planning '!$J461,H$2,H$1)-MEDIAN('planning '!$H461,H$2,H$1),+('planning '!$J461&lt;'planning '!$H461)*(H$2-H$1)+MEDIAN('planning '!$J461,H$1,H$2)-MEDIAN('planning '!$H461,H$1,H$2)))</f>
        <v>0</v>
      </c>
      <c r="I460" s="238"/>
      <c r="J460" s="234">
        <f>IF(OR('planning '!$H461="",'planning '!$J461=""),0,IF('planning '!$J461&gt;'planning '!$H461,MEDIAN('planning '!$J461,J$2,J$1)-MEDIAN('planning '!$H461,J$2,J$1),+('planning '!$J461&lt;'planning '!$H461)*(J$2-J$1)+MEDIAN('planning '!$J461,J$1,J$2)-MEDIAN('planning '!$H461,J$1,J$2)))</f>
        <v>0</v>
      </c>
      <c r="K460" s="238"/>
      <c r="M460" s="17"/>
      <c r="N460" s="17"/>
      <c r="O460" s="17"/>
      <c r="P460" s="17"/>
      <c r="Q460" s="17"/>
    </row>
    <row r="461" spans="2:17" x14ac:dyDescent="0.25">
      <c r="M461" s="17"/>
      <c r="N461" s="17"/>
      <c r="O461" s="17"/>
      <c r="P461" s="17"/>
      <c r="Q461" s="17"/>
    </row>
    <row r="462" spans="2:17" x14ac:dyDescent="0.25">
      <c r="M462" s="17"/>
      <c r="N462" s="17"/>
      <c r="O462" s="17"/>
      <c r="P462" s="17"/>
      <c r="Q462" s="17"/>
    </row>
    <row r="463" spans="2:17" ht="15.75" thickBot="1" x14ac:dyDescent="0.3">
      <c r="M463" s="17"/>
      <c r="N463" s="17"/>
      <c r="O463" s="17"/>
      <c r="P463" s="17"/>
      <c r="Q463" s="17"/>
    </row>
    <row r="464" spans="2:17" x14ac:dyDescent="0.25">
      <c r="B464" s="231" t="str">
        <f>'planning '!F465</f>
        <v>travail</v>
      </c>
      <c r="C464" s="232">
        <f>'planning '!E465</f>
        <v>44152</v>
      </c>
      <c r="D464" s="233"/>
      <c r="E464" s="239"/>
      <c r="F464" s="235">
        <f>IF(OR('planning '!$H465="",'planning '!$J465=""),0,IF('planning '!$J465&gt;'planning '!$H465,MEDIAN('planning '!$J465,F$2,F$1)-MEDIAN('planning '!$H465,F$2,F$1),+('planning '!$J465&lt;'planning '!$H465)*(F$2-F$1)+MEDIAN('planning '!$J465,F$1,F$2)-MEDIAN('planning '!$H465,F$1,F$2)))-'planning '!AA465</f>
        <v>0</v>
      </c>
      <c r="G464" s="236"/>
      <c r="H464" s="235">
        <f>IF(OR('planning '!$H465="",'planning '!$J465=""),0,IF('planning '!$J465&gt;'planning '!$H465,MEDIAN('planning '!$J465,H$2,H$1)-MEDIAN('planning '!$H465,H$2,H$1),+('planning '!$J465&lt;'planning '!$H465)*(H$2-H$1)+MEDIAN('planning '!$J465,H$1,H$2)-MEDIAN('planning '!$H465,H$1,H$2)))</f>
        <v>0</v>
      </c>
      <c r="I464" s="236"/>
      <c r="J464" s="234">
        <f>IF(OR('planning '!$H465="",'planning '!$J465=""),0,IF('planning '!$J465&gt;'planning '!$H465,MEDIAN('planning '!$J465,J$2,J$1)-MEDIAN('planning '!$H465,J$2,J$1),+('planning '!$J465&lt;'planning '!$H465)*(J$2-J$1)+MEDIAN('planning '!$J465,J$1,J$2)-MEDIAN('planning '!$H465,J$1,J$2)))</f>
        <v>0.33333333333333337</v>
      </c>
      <c r="K464" s="236"/>
      <c r="M464" s="17"/>
      <c r="N464" s="264"/>
      <c r="O464" s="265" t="s">
        <v>114</v>
      </c>
      <c r="P464" s="266"/>
      <c r="Q464" s="17"/>
    </row>
    <row r="465" spans="2:17" x14ac:dyDescent="0.25">
      <c r="B465" s="231" t="str">
        <f>'planning '!F466</f>
        <v>travail</v>
      </c>
      <c r="C465" s="232">
        <f>C464+1</f>
        <v>44153</v>
      </c>
      <c r="D465" s="233"/>
      <c r="E465" s="240"/>
      <c r="F465" s="235">
        <f>IF(OR('planning '!$H466="",'planning '!$J466=""),0,IF('planning '!$J466&gt;'planning '!$H466,MEDIAN('planning '!$J466,F$2,F$1)-MEDIAN('planning '!$H466,F$2,F$1),+('planning '!$J466&lt;'planning '!$H466)*(F$2-F$1)+MEDIAN('planning '!$J466,F$1,F$2)-MEDIAN('planning '!$H466,F$1,F$2)))-'planning '!AA466</f>
        <v>0</v>
      </c>
      <c r="G465" s="237"/>
      <c r="H465" s="235">
        <f>IF(OR('planning '!$H466="",'planning '!$J466=""),0,IF('planning '!$J466&gt;'planning '!$H466,MEDIAN('planning '!$J466,H$2,H$1)-MEDIAN('planning '!$H466,H$2,H$1),+('planning '!$J466&lt;'planning '!$H466)*(H$2-H$1)+MEDIAN('planning '!$J466,H$1,H$2)-MEDIAN('planning '!$H466,H$1,H$2)))</f>
        <v>0</v>
      </c>
      <c r="I465" s="237"/>
      <c r="J465" s="234">
        <f>IF(OR('planning '!$H466="",'planning '!$J466=""),0,IF('planning '!$J466&gt;'planning '!$H466,MEDIAN('planning '!$J466,J$2,J$1)-MEDIAN('planning '!$H466,J$2,J$1),+('planning '!$J466&lt;'planning '!$H466)*(J$2-J$1)+MEDIAN('planning '!$J466,J$1,J$2)-MEDIAN('planning '!$H466,J$1,J$2)))</f>
        <v>0.33333333333333337</v>
      </c>
      <c r="K465" s="237"/>
      <c r="M465" s="17"/>
      <c r="N465" s="263" t="s">
        <v>117</v>
      </c>
      <c r="O465" s="263" t="s">
        <v>115</v>
      </c>
      <c r="P465" s="263" t="s">
        <v>116</v>
      </c>
      <c r="Q465" s="243" t="s">
        <v>118</v>
      </c>
    </row>
    <row r="466" spans="2:17" x14ac:dyDescent="0.25">
      <c r="B466" s="231" t="str">
        <f>'planning '!F467</f>
        <v>travail</v>
      </c>
      <c r="C466" s="232">
        <f>C465+1</f>
        <v>44154</v>
      </c>
      <c r="D466" s="233"/>
      <c r="E466" s="240"/>
      <c r="F466" s="235">
        <f>IF(OR('planning '!$H467="",'planning '!$J467=""),0,IF('planning '!$J467&gt;'planning '!$H467,MEDIAN('planning '!$J467,F$2,F$1)-MEDIAN('planning '!$H467,F$2,F$1),+('planning '!$J467&lt;'planning '!$H467)*(F$2-F$1)+MEDIAN('planning '!$J467,F$1,F$2)-MEDIAN('planning '!$H467,F$1,F$2)))-'planning '!AA467</f>
        <v>0</v>
      </c>
      <c r="G466" s="237"/>
      <c r="H466" s="235">
        <f>IF(OR('planning '!$H467="",'planning '!$J467=""),0,IF('planning '!$J467&gt;'planning '!$H467,MEDIAN('planning '!$J467,H$2,H$1)-MEDIAN('planning '!$H467,H$2,H$1),+('planning '!$J467&lt;'planning '!$H467)*(H$2-H$1)+MEDIAN('planning '!$J467,H$1,H$2)-MEDIAN('planning '!$H467,H$1,H$2)))</f>
        <v>0</v>
      </c>
      <c r="I466" s="237"/>
      <c r="J466" s="234">
        <f>IF(OR('planning '!$H467="",'planning '!$J467=""),0,IF('planning '!$J467&gt;'planning '!$H467,MEDIAN('planning '!$J467,J$2,J$1)-MEDIAN('planning '!$H467,J$2,J$1),+('planning '!$J467&lt;'planning '!$H467)*(J$2-J$1)+MEDIAN('planning '!$J467,J$1,J$2)-MEDIAN('planning '!$H467,J$1,J$2)))</f>
        <v>0.33333333333333337</v>
      </c>
      <c r="K466" s="237"/>
      <c r="M466" s="231" t="s">
        <v>111</v>
      </c>
      <c r="N466" s="261">
        <f t="shared" ref="N466:Q467" ca="1" si="92">SUMIF(OFFSET($C464:$C471,0,MATCH(N$10,$B$5:$H$5,0)-1,7,1),$K467,OFFSET($B464:$B470,0,MATCH(N$10,$B$5:$H$5,0)-1,7,1))</f>
        <v>0</v>
      </c>
      <c r="O466" s="261">
        <f t="shared" ca="1" si="92"/>
        <v>0</v>
      </c>
      <c r="P466" s="261">
        <f t="shared" ca="1" si="92"/>
        <v>0</v>
      </c>
      <c r="Q466" s="261">
        <f t="shared" ca="1" si="92"/>
        <v>0</v>
      </c>
    </row>
    <row r="467" spans="2:17" x14ac:dyDescent="0.25">
      <c r="B467" s="231" t="str">
        <f>'planning '!F468</f>
        <v>travail</v>
      </c>
      <c r="C467" s="232">
        <f t="shared" ref="C467:C470" si="93">C466+1</f>
        <v>44155</v>
      </c>
      <c r="D467" s="233"/>
      <c r="E467" s="240"/>
      <c r="F467" s="235">
        <f>IF(OR('planning '!$H468="",'planning '!$J468=""),0,IF('planning '!$J468&gt;'planning '!$H468,MEDIAN('planning '!$J468,F$2,F$1)-MEDIAN('planning '!$H468,F$2,F$1),+('planning '!$J468&lt;'planning '!$H468)*(F$2-F$1)+MEDIAN('planning '!$J468,F$1,F$2)-MEDIAN('planning '!$H468,F$1,F$2)))-'planning '!AA468</f>
        <v>0</v>
      </c>
      <c r="G467" s="237"/>
      <c r="H467" s="235">
        <f>IF(OR('planning '!$H468="",'planning '!$J468=""),0,IF('planning '!$J468&gt;'planning '!$H468,MEDIAN('planning '!$J468,H$2,H$1)-MEDIAN('planning '!$H468,H$2,H$1),+('planning '!$J468&lt;'planning '!$H468)*(H$2-H$1)+MEDIAN('planning '!$J468,H$1,H$2)-MEDIAN('planning '!$H468,H$1,H$2)))</f>
        <v>0</v>
      </c>
      <c r="I467" s="237"/>
      <c r="J467" s="234">
        <f>IF(OR('planning '!$H468="",'planning '!$J468=""),0,IF('planning '!$J468&gt;'planning '!$H468,MEDIAN('planning '!$J468,J$2,J$1)-MEDIAN('planning '!$H468,J$2,J$1),+('planning '!$J468&lt;'planning '!$H468)*(J$2-J$1)+MEDIAN('planning '!$J468,J$1,J$2)-MEDIAN('planning '!$H468,J$1,J$2)))</f>
        <v>0.33333333333333337</v>
      </c>
      <c r="K467" s="237"/>
      <c r="M467" s="231" t="s">
        <v>21</v>
      </c>
      <c r="N467" s="261">
        <f t="shared" ca="1" si="92"/>
        <v>0</v>
      </c>
      <c r="O467" s="261">
        <f t="shared" ca="1" si="92"/>
        <v>0</v>
      </c>
      <c r="P467" s="261">
        <f t="shared" ca="1" si="92"/>
        <v>0</v>
      </c>
      <c r="Q467" s="261">
        <f t="shared" ca="1" si="92"/>
        <v>0</v>
      </c>
    </row>
    <row r="468" spans="2:17" x14ac:dyDescent="0.25">
      <c r="B468" s="231" t="str">
        <f>'planning '!F469</f>
        <v>travail</v>
      </c>
      <c r="C468" s="232">
        <f t="shared" si="93"/>
        <v>44156</v>
      </c>
      <c r="D468" s="233"/>
      <c r="E468" s="240"/>
      <c r="F468" s="235">
        <f>IF(OR('planning '!$H469="",'planning '!$J469=""),0,IF('planning '!$J469&gt;'planning '!$H469,MEDIAN('planning '!$J469,F$2,F$1)-MEDIAN('planning '!$H469,F$2,F$1),+('planning '!$J469&lt;'planning '!$H469)*(F$2-F$1)+MEDIAN('planning '!$J469,F$1,F$2)-MEDIAN('planning '!$H469,F$1,F$2)))-'planning '!AA469</f>
        <v>0</v>
      </c>
      <c r="G468" s="237"/>
      <c r="H468" s="235">
        <f>IF(OR('planning '!$H469="",'planning '!$J469=""),0,IF('planning '!$J469&gt;'planning '!$H469,MEDIAN('planning '!$J469,H$2,H$1)-MEDIAN('planning '!$H469,H$2,H$1),+('planning '!$J469&lt;'planning '!$H469)*(H$2-H$1)+MEDIAN('planning '!$J469,H$1,H$2)-MEDIAN('planning '!$H469,H$1,H$2)))</f>
        <v>0</v>
      </c>
      <c r="I468" s="237"/>
      <c r="J468" s="234">
        <f>IF(OR('planning '!$H469="",'planning '!$J469=""),0,IF('planning '!$J469&gt;'planning '!$H469,MEDIAN('planning '!$J469,J$2,J$1)-MEDIAN('planning '!$H469,J$2,J$1),+('planning '!$J469&lt;'planning '!$H469)*(J$2-J$1)+MEDIAN('planning '!$J469,J$1,J$2)-MEDIAN('planning '!$H469,J$1,J$2)))</f>
        <v>0.33333333333333337</v>
      </c>
      <c r="K468" s="237"/>
      <c r="M468" s="17"/>
      <c r="N468" s="17"/>
      <c r="O468" s="17"/>
      <c r="P468" s="17"/>
      <c r="Q468" s="17"/>
    </row>
    <row r="469" spans="2:17" x14ac:dyDescent="0.25">
      <c r="B469" s="231" t="str">
        <f>'planning '!F470</f>
        <v>off</v>
      </c>
      <c r="C469" s="232">
        <f t="shared" si="93"/>
        <v>44157</v>
      </c>
      <c r="D469" s="233">
        <f>IF(OR('planning '!$H470="",'planning '!$J470=""),0,IF('planning '!$J470&gt;'planning '!$H470,MEDIAN('planning '!$J470,D$2,D$1)-MEDIAN('planning '!$H470,D$2,D$1),+('planning '!$J470&lt;'planning '!$H470)*(D$2-D$1)+MEDIAN('planning '!$J470,D$1,D$2)-MEDIAN('planning '!$H470,D$1,D$2)))-'planning '!V470</f>
        <v>0</v>
      </c>
      <c r="E469" s="240"/>
      <c r="F469" s="235">
        <f>IF(OR('planning '!$H470="",'planning '!$J470=""),0,IF('planning '!$J470&gt;'planning '!$H470,MEDIAN('planning '!$J470,F$2,F$1)-MEDIAN('planning '!$H470,F$2,F$1),+('planning '!$J470&lt;'planning '!$H470)*(F$2-F$1)+MEDIAN('planning '!$J470,F$1,F$2)-MEDIAN('planning '!$H470,F$1,F$2)))-'planning '!AA470</f>
        <v>0</v>
      </c>
      <c r="G469" s="237"/>
      <c r="H469" s="235">
        <f>IF(OR('planning '!$H470="",'planning '!$J470=""),0,IF('planning '!$J470&gt;'planning '!$H470,MEDIAN('planning '!$J470,H$2,H$1)-MEDIAN('planning '!$H470,H$2,H$1),+('planning '!$J470&lt;'planning '!$H470)*(H$2-H$1)+MEDIAN('planning '!$J470,H$1,H$2)-MEDIAN('planning '!$H470,H$1,H$2)))</f>
        <v>0</v>
      </c>
      <c r="I469" s="237"/>
      <c r="J469" s="234">
        <f>IF(OR('planning '!$H470="",'planning '!$J470=""),0,IF('planning '!$J470&gt;'planning '!$H470,MEDIAN('planning '!$J470,J$2,J$1)-MEDIAN('planning '!$H470,J$2,J$1),+('planning '!$J470&lt;'planning '!$H470)*(J$2-J$1)+MEDIAN('planning '!$J470,J$1,J$2)-MEDIAN('planning '!$H470,J$1,J$2)))</f>
        <v>0</v>
      </c>
      <c r="K469" s="237"/>
      <c r="M469" s="17"/>
      <c r="N469" s="17"/>
      <c r="O469" s="17"/>
      <c r="P469" s="17"/>
      <c r="Q469" s="17"/>
    </row>
    <row r="470" spans="2:17" ht="15.75" thickBot="1" x14ac:dyDescent="0.3">
      <c r="B470" s="231" t="str">
        <f>'planning '!F471</f>
        <v>off</v>
      </c>
      <c r="C470" s="232">
        <f t="shared" si="93"/>
        <v>44158</v>
      </c>
      <c r="D470" s="233">
        <f>IF(OR('planning '!$H471="",'planning '!$J471=""),0,IF('planning '!$J471&gt;'planning '!$H471,MEDIAN('planning '!$J471,D$2,D$1)-MEDIAN('planning '!$H471,D$2,D$1),+('planning '!$J471&lt;'planning '!$H471)*(D$2-D$1)+MEDIAN('planning '!$J471,D$1,D$2)-MEDIAN('planning '!$H471,D$1,D$2)))-'planning '!V471</f>
        <v>0</v>
      </c>
      <c r="E470" s="241"/>
      <c r="F470" s="235">
        <f>IF(OR('planning '!$H471="",'planning '!$J471=""),0,IF('planning '!$J471&gt;'planning '!$H471,MEDIAN('planning '!$J471,F$2,F$1)-MEDIAN('planning '!$H471,F$2,F$1),+('planning '!$J471&lt;'planning '!$H471)*(F$2-F$1)+MEDIAN('planning '!$J471,F$1,F$2)-MEDIAN('planning '!$H471,F$1,F$2)))-'planning '!AA471</f>
        <v>0</v>
      </c>
      <c r="G470" s="238"/>
      <c r="H470" s="235">
        <f>IF(OR('planning '!$H471="",'planning '!$J471=""),0,IF('planning '!$J471&gt;'planning '!$H471,MEDIAN('planning '!$J471,H$2,H$1)-MEDIAN('planning '!$H471,H$2,H$1),+('planning '!$J471&lt;'planning '!$H471)*(H$2-H$1)+MEDIAN('planning '!$J471,H$1,H$2)-MEDIAN('planning '!$H471,H$1,H$2)))</f>
        <v>0</v>
      </c>
      <c r="I470" s="238"/>
      <c r="J470" s="234">
        <f>IF(OR('planning '!$H471="",'planning '!$J471=""),0,IF('planning '!$J471&gt;'planning '!$H471,MEDIAN('planning '!$J471,J$2,J$1)-MEDIAN('planning '!$H471,J$2,J$1),+('planning '!$J471&lt;'planning '!$H471)*(J$2-J$1)+MEDIAN('planning '!$J471,J$1,J$2)-MEDIAN('planning '!$H471,J$1,J$2)))</f>
        <v>0</v>
      </c>
      <c r="K470" s="238"/>
      <c r="M470" s="17"/>
      <c r="N470" s="17"/>
      <c r="O470" s="17"/>
      <c r="P470" s="17"/>
      <c r="Q470" s="17"/>
    </row>
    <row r="471" spans="2:17" x14ac:dyDescent="0.25">
      <c r="M471" s="17"/>
      <c r="N471" s="17"/>
      <c r="O471" s="17"/>
      <c r="P471" s="17"/>
      <c r="Q471" s="17"/>
    </row>
    <row r="472" spans="2:17" x14ac:dyDescent="0.25">
      <c r="M472" s="17"/>
      <c r="N472" s="17"/>
      <c r="O472" s="17"/>
      <c r="P472" s="17"/>
      <c r="Q472" s="17"/>
    </row>
    <row r="473" spans="2:17" ht="15.75" thickBot="1" x14ac:dyDescent="0.3">
      <c r="M473" s="17"/>
      <c r="N473" s="17"/>
      <c r="O473" s="17"/>
      <c r="P473" s="17"/>
      <c r="Q473" s="17"/>
    </row>
    <row r="474" spans="2:17" x14ac:dyDescent="0.25">
      <c r="B474" s="231" t="str">
        <f>'planning '!F475</f>
        <v>travail</v>
      </c>
      <c r="C474" s="232">
        <f>'planning '!E475</f>
        <v>44159</v>
      </c>
      <c r="D474" s="233"/>
      <c r="E474" s="239"/>
      <c r="F474" s="235">
        <f>IF(OR('planning '!$H475="",'planning '!$J475=""),0,IF('planning '!$J475&gt;'planning '!$H475,MEDIAN('planning '!$J475,F$2,F$1)-MEDIAN('planning '!$H475,F$2,F$1),+('planning '!$J475&lt;'planning '!$H475)*(F$2-F$1)+MEDIAN('planning '!$J475,F$1,F$2)-MEDIAN('planning '!$H475,F$1,F$2)))-'planning '!AA475</f>
        <v>0</v>
      </c>
      <c r="G474" s="236"/>
      <c r="H474" s="235">
        <f>IF(OR('planning '!$H475="",'planning '!$J475=""),0,IF('planning '!$J475&gt;'planning '!$H475,MEDIAN('planning '!$J475,H$2,H$1)-MEDIAN('planning '!$H475,H$2,H$1),+('planning '!$J475&lt;'planning '!$H475)*(H$2-H$1)+MEDIAN('planning '!$J475,H$1,H$2)-MEDIAN('planning '!$H475,H$1,H$2)))</f>
        <v>0</v>
      </c>
      <c r="I474" s="236"/>
      <c r="J474" s="234">
        <f>IF(OR('planning '!$H475="",'planning '!$J475=""),0,IF('planning '!$J475&gt;'planning '!$H475,MEDIAN('planning '!$J475,J$2,J$1)-MEDIAN('planning '!$H475,J$2,J$1),+('planning '!$J475&lt;'planning '!$H475)*(J$2-J$1)+MEDIAN('planning '!$J475,J$1,J$2)-MEDIAN('planning '!$H475,J$1,J$2)))</f>
        <v>0.33333333333333337</v>
      </c>
      <c r="K474" s="236"/>
      <c r="M474" s="17"/>
      <c r="N474" s="264"/>
      <c r="O474" s="265" t="s">
        <v>114</v>
      </c>
      <c r="P474" s="266"/>
      <c r="Q474" s="17"/>
    </row>
    <row r="475" spans="2:17" x14ac:dyDescent="0.25">
      <c r="B475" s="231" t="str">
        <f>'planning '!F476</f>
        <v>travail</v>
      </c>
      <c r="C475" s="232">
        <f>C474+1</f>
        <v>44160</v>
      </c>
      <c r="D475" s="233"/>
      <c r="E475" s="240"/>
      <c r="F475" s="235">
        <f>IF(OR('planning '!$H476="",'planning '!$J476=""),0,IF('planning '!$J476&gt;'planning '!$H476,MEDIAN('planning '!$J476,F$2,F$1)-MEDIAN('planning '!$H476,F$2,F$1),+('planning '!$J476&lt;'planning '!$H476)*(F$2-F$1)+MEDIAN('planning '!$J476,F$1,F$2)-MEDIAN('planning '!$H476,F$1,F$2)))-'planning '!AA476</f>
        <v>0</v>
      </c>
      <c r="G475" s="237"/>
      <c r="H475" s="235">
        <f>IF(OR('planning '!$H476="",'planning '!$J476=""),0,IF('planning '!$J476&gt;'planning '!$H476,MEDIAN('planning '!$J476,H$2,H$1)-MEDIAN('planning '!$H476,H$2,H$1),+('planning '!$J476&lt;'planning '!$H476)*(H$2-H$1)+MEDIAN('planning '!$J476,H$1,H$2)-MEDIAN('planning '!$H476,H$1,H$2)))</f>
        <v>0</v>
      </c>
      <c r="I475" s="237"/>
      <c r="J475" s="234">
        <f>IF(OR('planning '!$H476="",'planning '!$J476=""),0,IF('planning '!$J476&gt;'planning '!$H476,MEDIAN('planning '!$J476,J$2,J$1)-MEDIAN('planning '!$H476,J$2,J$1),+('planning '!$J476&lt;'planning '!$H476)*(J$2-J$1)+MEDIAN('planning '!$J476,J$1,J$2)-MEDIAN('planning '!$H476,J$1,J$2)))</f>
        <v>0.33333333333333337</v>
      </c>
      <c r="K475" s="237"/>
      <c r="M475" s="17"/>
      <c r="N475" s="263" t="s">
        <v>117</v>
      </c>
      <c r="O475" s="263" t="s">
        <v>115</v>
      </c>
      <c r="P475" s="263" t="s">
        <v>116</v>
      </c>
      <c r="Q475" s="243" t="s">
        <v>118</v>
      </c>
    </row>
    <row r="476" spans="2:17" x14ac:dyDescent="0.25">
      <c r="B476" s="231" t="str">
        <f>'planning '!F477</f>
        <v>travail</v>
      </c>
      <c r="C476" s="232">
        <f>C475+1</f>
        <v>44161</v>
      </c>
      <c r="D476" s="233"/>
      <c r="E476" s="240"/>
      <c r="F476" s="235">
        <f>IF(OR('planning '!$H477="",'planning '!$J477=""),0,IF('planning '!$J477&gt;'planning '!$H477,MEDIAN('planning '!$J477,F$2,F$1)-MEDIAN('planning '!$H477,F$2,F$1),+('planning '!$J477&lt;'planning '!$H477)*(F$2-F$1)+MEDIAN('planning '!$J477,F$1,F$2)-MEDIAN('planning '!$H477,F$1,F$2)))-'planning '!AA477</f>
        <v>0</v>
      </c>
      <c r="G476" s="237"/>
      <c r="H476" s="235">
        <f>IF(OR('planning '!$H477="",'planning '!$J477=""),0,IF('planning '!$J477&gt;'planning '!$H477,MEDIAN('planning '!$J477,H$2,H$1)-MEDIAN('planning '!$H477,H$2,H$1),+('planning '!$J477&lt;'planning '!$H477)*(H$2-H$1)+MEDIAN('planning '!$J477,H$1,H$2)-MEDIAN('planning '!$H477,H$1,H$2)))</f>
        <v>0</v>
      </c>
      <c r="I476" s="237"/>
      <c r="J476" s="234">
        <f>IF(OR('planning '!$H477="",'planning '!$J477=""),0,IF('planning '!$J477&gt;'planning '!$H477,MEDIAN('planning '!$J477,J$2,J$1)-MEDIAN('planning '!$H477,J$2,J$1),+('planning '!$J477&lt;'planning '!$H477)*(J$2-J$1)+MEDIAN('planning '!$J477,J$1,J$2)-MEDIAN('planning '!$H477,J$1,J$2)))</f>
        <v>0.33333333333333337</v>
      </c>
      <c r="K476" s="237"/>
      <c r="M476" s="231" t="s">
        <v>111</v>
      </c>
      <c r="N476" s="261">
        <f t="shared" ref="N476:Q477" ca="1" si="94">SUMIF(OFFSET($C474:$C481,0,MATCH(N$10,$B$5:$H$5,0)-1,7,1),$K477,OFFSET($B474:$B480,0,MATCH(N$10,$B$5:$H$5,0)-1,7,1))</f>
        <v>0</v>
      </c>
      <c r="O476" s="261">
        <f t="shared" ca="1" si="94"/>
        <v>0</v>
      </c>
      <c r="P476" s="261">
        <f t="shared" ca="1" si="94"/>
        <v>0</v>
      </c>
      <c r="Q476" s="261">
        <f t="shared" ca="1" si="94"/>
        <v>0</v>
      </c>
    </row>
    <row r="477" spans="2:17" x14ac:dyDescent="0.25">
      <c r="B477" s="231" t="str">
        <f>'planning '!F478</f>
        <v>travail</v>
      </c>
      <c r="C477" s="232">
        <f t="shared" ref="C477:C480" si="95">C476+1</f>
        <v>44162</v>
      </c>
      <c r="D477" s="233"/>
      <c r="E477" s="240"/>
      <c r="F477" s="235">
        <f>IF(OR('planning '!$H478="",'planning '!$J478=""),0,IF('planning '!$J478&gt;'planning '!$H478,MEDIAN('planning '!$J478,F$2,F$1)-MEDIAN('planning '!$H478,F$2,F$1),+('planning '!$J478&lt;'planning '!$H478)*(F$2-F$1)+MEDIAN('planning '!$J478,F$1,F$2)-MEDIAN('planning '!$H478,F$1,F$2)))-'planning '!AA478</f>
        <v>0</v>
      </c>
      <c r="G477" s="237"/>
      <c r="H477" s="235">
        <f>IF(OR('planning '!$H478="",'planning '!$J478=""),0,IF('planning '!$J478&gt;'planning '!$H478,MEDIAN('planning '!$J478,H$2,H$1)-MEDIAN('planning '!$H478,H$2,H$1),+('planning '!$J478&lt;'planning '!$H478)*(H$2-H$1)+MEDIAN('planning '!$J478,H$1,H$2)-MEDIAN('planning '!$H478,H$1,H$2)))</f>
        <v>0</v>
      </c>
      <c r="I477" s="237"/>
      <c r="J477" s="234">
        <f>IF(OR('planning '!$H478="",'planning '!$J478=""),0,IF('planning '!$J478&gt;'planning '!$H478,MEDIAN('planning '!$J478,J$2,J$1)-MEDIAN('planning '!$H478,J$2,J$1),+('planning '!$J478&lt;'planning '!$H478)*(J$2-J$1)+MEDIAN('planning '!$J478,J$1,J$2)-MEDIAN('planning '!$H478,J$1,J$2)))</f>
        <v>0.33333333333333337</v>
      </c>
      <c r="K477" s="237"/>
      <c r="M477" s="231" t="s">
        <v>21</v>
      </c>
      <c r="N477" s="261">
        <f t="shared" ca="1" si="94"/>
        <v>0</v>
      </c>
      <c r="O477" s="261">
        <f t="shared" ca="1" si="94"/>
        <v>0</v>
      </c>
      <c r="P477" s="261">
        <f t="shared" ca="1" si="94"/>
        <v>0</v>
      </c>
      <c r="Q477" s="261">
        <f t="shared" ca="1" si="94"/>
        <v>0</v>
      </c>
    </row>
    <row r="478" spans="2:17" x14ac:dyDescent="0.25">
      <c r="B478" s="231" t="str">
        <f>'planning '!F479</f>
        <v>travail</v>
      </c>
      <c r="C478" s="232">
        <f t="shared" si="95"/>
        <v>44163</v>
      </c>
      <c r="D478" s="233"/>
      <c r="E478" s="240"/>
      <c r="F478" s="235">
        <f>IF(OR('planning '!$H479="",'planning '!$J479=""),0,IF('planning '!$J479&gt;'planning '!$H479,MEDIAN('planning '!$J479,F$2,F$1)-MEDIAN('planning '!$H479,F$2,F$1),+('planning '!$J479&lt;'planning '!$H479)*(F$2-F$1)+MEDIAN('planning '!$J479,F$1,F$2)-MEDIAN('planning '!$H479,F$1,F$2)))-'planning '!AA479</f>
        <v>0</v>
      </c>
      <c r="G478" s="237"/>
      <c r="H478" s="235">
        <f>IF(OR('planning '!$H479="",'planning '!$J479=""),0,IF('planning '!$J479&gt;'planning '!$H479,MEDIAN('planning '!$J479,H$2,H$1)-MEDIAN('planning '!$H479,H$2,H$1),+('planning '!$J479&lt;'planning '!$H479)*(H$2-H$1)+MEDIAN('planning '!$J479,H$1,H$2)-MEDIAN('planning '!$H479,H$1,H$2)))</f>
        <v>0</v>
      </c>
      <c r="I478" s="237"/>
      <c r="J478" s="234">
        <f>IF(OR('planning '!$H479="",'planning '!$J479=""),0,IF('planning '!$J479&gt;'planning '!$H479,MEDIAN('planning '!$J479,J$2,J$1)-MEDIAN('planning '!$H479,J$2,J$1),+('planning '!$J479&lt;'planning '!$H479)*(J$2-J$1)+MEDIAN('planning '!$J479,J$1,J$2)-MEDIAN('planning '!$H479,J$1,J$2)))</f>
        <v>0.33333333333333337</v>
      </c>
      <c r="K478" s="237"/>
      <c r="M478" s="17"/>
      <c r="N478" s="17"/>
      <c r="O478" s="17"/>
      <c r="P478" s="17"/>
      <c r="Q478" s="17"/>
    </row>
    <row r="479" spans="2:17" x14ac:dyDescent="0.25">
      <c r="B479" s="231" t="str">
        <f>'planning '!F480</f>
        <v>off</v>
      </c>
      <c r="C479" s="232">
        <f t="shared" si="95"/>
        <v>44164</v>
      </c>
      <c r="D479" s="233">
        <f>IF(OR('planning '!$H480="",'planning '!$J480=""),0,IF('planning '!$J480&gt;'planning '!$H480,MEDIAN('planning '!$J480,D$2,D$1)-MEDIAN('planning '!$H480,D$2,D$1),+('planning '!$J480&lt;'planning '!$H480)*(D$2-D$1)+MEDIAN('planning '!$J480,D$1,D$2)-MEDIAN('planning '!$H480,D$1,D$2)))-'planning '!V480</f>
        <v>0</v>
      </c>
      <c r="E479" s="240"/>
      <c r="F479" s="235">
        <f>IF(OR('planning '!$H480="",'planning '!$J480=""),0,IF('planning '!$J480&gt;'planning '!$H480,MEDIAN('planning '!$J480,F$2,F$1)-MEDIAN('planning '!$H480,F$2,F$1),+('planning '!$J480&lt;'planning '!$H480)*(F$2-F$1)+MEDIAN('planning '!$J480,F$1,F$2)-MEDIAN('planning '!$H480,F$1,F$2)))-'planning '!AA480</f>
        <v>0</v>
      </c>
      <c r="G479" s="237"/>
      <c r="H479" s="235">
        <f>IF(OR('planning '!$H480="",'planning '!$J480=""),0,IF('planning '!$J480&gt;'planning '!$H480,MEDIAN('planning '!$J480,H$2,H$1)-MEDIAN('planning '!$H480,H$2,H$1),+('planning '!$J480&lt;'planning '!$H480)*(H$2-H$1)+MEDIAN('planning '!$J480,H$1,H$2)-MEDIAN('planning '!$H480,H$1,H$2)))</f>
        <v>0</v>
      </c>
      <c r="I479" s="237"/>
      <c r="J479" s="234">
        <f>IF(OR('planning '!$H480="",'planning '!$J480=""),0,IF('planning '!$J480&gt;'planning '!$H480,MEDIAN('planning '!$J480,J$2,J$1)-MEDIAN('planning '!$H480,J$2,J$1),+('planning '!$J480&lt;'planning '!$H480)*(J$2-J$1)+MEDIAN('planning '!$J480,J$1,J$2)-MEDIAN('planning '!$H480,J$1,J$2)))</f>
        <v>0</v>
      </c>
      <c r="K479" s="237"/>
      <c r="M479" s="17"/>
      <c r="N479" s="17"/>
      <c r="O479" s="17"/>
      <c r="P479" s="17"/>
      <c r="Q479" s="17"/>
    </row>
    <row r="480" spans="2:17" ht="15.75" thickBot="1" x14ac:dyDescent="0.3">
      <c r="B480" s="231" t="str">
        <f>'planning '!F481</f>
        <v>off</v>
      </c>
      <c r="C480" s="232">
        <f t="shared" si="95"/>
        <v>44165</v>
      </c>
      <c r="D480" s="233">
        <f>IF(OR('planning '!$H481="",'planning '!$J481=""),0,IF('planning '!$J481&gt;'planning '!$H481,MEDIAN('planning '!$J481,D$2,D$1)-MEDIAN('planning '!$H481,D$2,D$1),+('planning '!$J481&lt;'planning '!$H481)*(D$2-D$1)+MEDIAN('planning '!$J481,D$1,D$2)-MEDIAN('planning '!$H481,D$1,D$2)))-'planning '!V481</f>
        <v>0</v>
      </c>
      <c r="E480" s="241"/>
      <c r="F480" s="235">
        <f>IF(OR('planning '!$H481="",'planning '!$J481=""),0,IF('planning '!$J481&gt;'planning '!$H481,MEDIAN('planning '!$J481,F$2,F$1)-MEDIAN('planning '!$H481,F$2,F$1),+('planning '!$J481&lt;'planning '!$H481)*(F$2-F$1)+MEDIAN('planning '!$J481,F$1,F$2)-MEDIAN('planning '!$H481,F$1,F$2)))-'planning '!AA481</f>
        <v>0</v>
      </c>
      <c r="G480" s="238"/>
      <c r="H480" s="235">
        <f>IF(OR('planning '!$H481="",'planning '!$J481=""),0,IF('planning '!$J481&gt;'planning '!$H481,MEDIAN('planning '!$J481,H$2,H$1)-MEDIAN('planning '!$H481,H$2,H$1),+('planning '!$J481&lt;'planning '!$H481)*(H$2-H$1)+MEDIAN('planning '!$J481,H$1,H$2)-MEDIAN('planning '!$H481,H$1,H$2)))</f>
        <v>0</v>
      </c>
      <c r="I480" s="238"/>
      <c r="J480" s="234">
        <f>IF(OR('planning '!$H481="",'planning '!$J481=""),0,IF('planning '!$J481&gt;'planning '!$H481,MEDIAN('planning '!$J481,J$2,J$1)-MEDIAN('planning '!$H481,J$2,J$1),+('planning '!$J481&lt;'planning '!$H481)*(J$2-J$1)+MEDIAN('planning '!$J481,J$1,J$2)-MEDIAN('planning '!$H481,J$1,J$2)))</f>
        <v>0</v>
      </c>
      <c r="K480" s="238"/>
      <c r="M480" s="17"/>
      <c r="N480" s="17"/>
      <c r="O480" s="17"/>
      <c r="P480" s="17"/>
      <c r="Q480" s="17"/>
    </row>
    <row r="481" spans="2:17" x14ac:dyDescent="0.25">
      <c r="M481" s="17"/>
      <c r="N481" s="17"/>
      <c r="O481" s="17"/>
      <c r="P481" s="17"/>
      <c r="Q481" s="17"/>
    </row>
    <row r="482" spans="2:17" x14ac:dyDescent="0.25">
      <c r="M482" s="17"/>
      <c r="N482" s="17"/>
      <c r="O482" s="17"/>
      <c r="P482" s="17"/>
      <c r="Q482" s="17"/>
    </row>
    <row r="483" spans="2:17" ht="15.75" thickBot="1" x14ac:dyDescent="0.3">
      <c r="M483" s="17"/>
      <c r="N483" s="17"/>
      <c r="O483" s="17"/>
      <c r="P483" s="17"/>
      <c r="Q483" s="17"/>
    </row>
    <row r="484" spans="2:17" x14ac:dyDescent="0.25">
      <c r="B484" s="231" t="str">
        <f>'planning '!F485</f>
        <v>travail</v>
      </c>
      <c r="C484" s="232">
        <f>'planning '!E485</f>
        <v>44166</v>
      </c>
      <c r="D484" s="233"/>
      <c r="E484" s="239"/>
      <c r="F484" s="235">
        <f>IF(OR('planning '!$H485="",'planning '!$J485=""),0,IF('planning '!$J485&gt;'planning '!$H485,MEDIAN('planning '!$J485,F$2,F$1)-MEDIAN('planning '!$H485,F$2,F$1),+('planning '!$J485&lt;'planning '!$H485)*(F$2-F$1)+MEDIAN('planning '!$J485,F$1,F$2)-MEDIAN('planning '!$H485,F$1,F$2)))-'planning '!AA485</f>
        <v>0</v>
      </c>
      <c r="G484" s="236"/>
      <c r="H484" s="235">
        <f>IF(OR('planning '!$H485="",'planning '!$J485=""),0,IF('planning '!$J485&gt;'planning '!$H485,MEDIAN('planning '!$J485,H$2,H$1)-MEDIAN('planning '!$H485,H$2,H$1),+('planning '!$J485&lt;'planning '!$H485)*(H$2-H$1)+MEDIAN('planning '!$J485,H$1,H$2)-MEDIAN('planning '!$H485,H$1,H$2)))</f>
        <v>0</v>
      </c>
      <c r="I484" s="236"/>
      <c r="J484" s="234">
        <f>IF(OR('planning '!$H485="",'planning '!$J485=""),0,IF('planning '!$J485&gt;'planning '!$H485,MEDIAN('planning '!$J485,J$2,J$1)-MEDIAN('planning '!$H485,J$2,J$1),+('planning '!$J485&lt;'planning '!$H485)*(J$2-J$1)+MEDIAN('planning '!$J485,J$1,J$2)-MEDIAN('planning '!$H485,J$1,J$2)))</f>
        <v>0.33333333333333337</v>
      </c>
      <c r="K484" s="236"/>
      <c r="M484" s="17"/>
      <c r="N484" s="264"/>
      <c r="O484" s="265" t="s">
        <v>114</v>
      </c>
      <c r="P484" s="266"/>
      <c r="Q484" s="17"/>
    </row>
    <row r="485" spans="2:17" x14ac:dyDescent="0.25">
      <c r="B485" s="231" t="str">
        <f>'planning '!F486</f>
        <v>travail</v>
      </c>
      <c r="C485" s="232">
        <f>C484+1</f>
        <v>44167</v>
      </c>
      <c r="D485" s="233"/>
      <c r="E485" s="240"/>
      <c r="F485" s="235">
        <f>IF(OR('planning '!$H486="",'planning '!$J486=""),0,IF('planning '!$J486&gt;'planning '!$H486,MEDIAN('planning '!$J486,F$2,F$1)-MEDIAN('planning '!$H486,F$2,F$1),+('planning '!$J486&lt;'planning '!$H486)*(F$2-F$1)+MEDIAN('planning '!$J486,F$1,F$2)-MEDIAN('planning '!$H486,F$1,F$2)))-'planning '!AA486</f>
        <v>0</v>
      </c>
      <c r="G485" s="237"/>
      <c r="H485" s="235">
        <f>IF(OR('planning '!$H486="",'planning '!$J486=""),0,IF('planning '!$J486&gt;'planning '!$H486,MEDIAN('planning '!$J486,H$2,H$1)-MEDIAN('planning '!$H486,H$2,H$1),+('planning '!$J486&lt;'planning '!$H486)*(H$2-H$1)+MEDIAN('planning '!$J486,H$1,H$2)-MEDIAN('planning '!$H486,H$1,H$2)))</f>
        <v>0</v>
      </c>
      <c r="I485" s="237"/>
      <c r="J485" s="234">
        <f>IF(OR('planning '!$H486="",'planning '!$J486=""),0,IF('planning '!$J486&gt;'planning '!$H486,MEDIAN('planning '!$J486,J$2,J$1)-MEDIAN('planning '!$H486,J$2,J$1),+('planning '!$J486&lt;'planning '!$H486)*(J$2-J$1)+MEDIAN('planning '!$J486,J$1,J$2)-MEDIAN('planning '!$H486,J$1,J$2)))</f>
        <v>0.33333333333333337</v>
      </c>
      <c r="K485" s="237"/>
      <c r="M485" s="17"/>
      <c r="N485" s="263" t="s">
        <v>117</v>
      </c>
      <c r="O485" s="263" t="s">
        <v>115</v>
      </c>
      <c r="P485" s="263" t="s">
        <v>116</v>
      </c>
      <c r="Q485" s="243" t="s">
        <v>118</v>
      </c>
    </row>
    <row r="486" spans="2:17" x14ac:dyDescent="0.25">
      <c r="B486" s="231" t="str">
        <f>'planning '!F487</f>
        <v>travail</v>
      </c>
      <c r="C486" s="232">
        <f>C485+1</f>
        <v>44168</v>
      </c>
      <c r="D486" s="233"/>
      <c r="E486" s="240"/>
      <c r="F486" s="235">
        <f>IF(OR('planning '!$H487="",'planning '!$J487=""),0,IF('planning '!$J487&gt;'planning '!$H487,MEDIAN('planning '!$J487,F$2,F$1)-MEDIAN('planning '!$H487,F$2,F$1),+('planning '!$J487&lt;'planning '!$H487)*(F$2-F$1)+MEDIAN('planning '!$J487,F$1,F$2)-MEDIAN('planning '!$H487,F$1,F$2)))-'planning '!AA487</f>
        <v>0</v>
      </c>
      <c r="G486" s="237"/>
      <c r="H486" s="235">
        <f>IF(OR('planning '!$H487="",'planning '!$J487=""),0,IF('planning '!$J487&gt;'planning '!$H487,MEDIAN('planning '!$J487,H$2,H$1)-MEDIAN('planning '!$H487,H$2,H$1),+('planning '!$J487&lt;'planning '!$H487)*(H$2-H$1)+MEDIAN('planning '!$J487,H$1,H$2)-MEDIAN('planning '!$H487,H$1,H$2)))</f>
        <v>0</v>
      </c>
      <c r="I486" s="237"/>
      <c r="J486" s="234">
        <f>IF(OR('planning '!$H487="",'planning '!$J487=""),0,IF('planning '!$J487&gt;'planning '!$H487,MEDIAN('planning '!$J487,J$2,J$1)-MEDIAN('planning '!$H487,J$2,J$1),+('planning '!$J487&lt;'planning '!$H487)*(J$2-J$1)+MEDIAN('planning '!$J487,J$1,J$2)-MEDIAN('planning '!$H487,J$1,J$2)))</f>
        <v>0.33333333333333337</v>
      </c>
      <c r="K486" s="237"/>
      <c r="M486" s="231" t="s">
        <v>111</v>
      </c>
      <c r="N486" s="261">
        <f t="shared" ref="N486:Q487" ca="1" si="96">SUMIF(OFFSET($C484:$C491,0,MATCH(N$10,$B$5:$H$5,0)-1,7,1),$K487,OFFSET($B484:$B490,0,MATCH(N$10,$B$5:$H$5,0)-1,7,1))</f>
        <v>0</v>
      </c>
      <c r="O486" s="261">
        <f t="shared" ca="1" si="96"/>
        <v>0</v>
      </c>
      <c r="P486" s="261">
        <f t="shared" ca="1" si="96"/>
        <v>0</v>
      </c>
      <c r="Q486" s="261">
        <f t="shared" ca="1" si="96"/>
        <v>0</v>
      </c>
    </row>
    <row r="487" spans="2:17" x14ac:dyDescent="0.25">
      <c r="B487" s="231" t="str">
        <f>'planning '!F488</f>
        <v>travail</v>
      </c>
      <c r="C487" s="232">
        <f t="shared" ref="C487:C490" si="97">C486+1</f>
        <v>44169</v>
      </c>
      <c r="D487" s="233"/>
      <c r="E487" s="240"/>
      <c r="F487" s="235">
        <f>IF(OR('planning '!$H488="",'planning '!$J488=""),0,IF('planning '!$J488&gt;'planning '!$H488,MEDIAN('planning '!$J488,F$2,F$1)-MEDIAN('planning '!$H488,F$2,F$1),+('planning '!$J488&lt;'planning '!$H488)*(F$2-F$1)+MEDIAN('planning '!$J488,F$1,F$2)-MEDIAN('planning '!$H488,F$1,F$2)))-'planning '!AA488</f>
        <v>0</v>
      </c>
      <c r="G487" s="237"/>
      <c r="H487" s="235">
        <f>IF(OR('planning '!$H488="",'planning '!$J488=""),0,IF('planning '!$J488&gt;'planning '!$H488,MEDIAN('planning '!$J488,H$2,H$1)-MEDIAN('planning '!$H488,H$2,H$1),+('planning '!$J488&lt;'planning '!$H488)*(H$2-H$1)+MEDIAN('planning '!$J488,H$1,H$2)-MEDIAN('planning '!$H488,H$1,H$2)))</f>
        <v>0</v>
      </c>
      <c r="I487" s="237"/>
      <c r="J487" s="234">
        <f>IF(OR('planning '!$H488="",'planning '!$J488=""),0,IF('planning '!$J488&gt;'planning '!$H488,MEDIAN('planning '!$J488,J$2,J$1)-MEDIAN('planning '!$H488,J$2,J$1),+('planning '!$J488&lt;'planning '!$H488)*(J$2-J$1)+MEDIAN('planning '!$J488,J$1,J$2)-MEDIAN('planning '!$H488,J$1,J$2)))</f>
        <v>0.33333333333333337</v>
      </c>
      <c r="K487" s="237"/>
      <c r="M487" s="231" t="s">
        <v>21</v>
      </c>
      <c r="N487" s="261">
        <f t="shared" ca="1" si="96"/>
        <v>0</v>
      </c>
      <c r="O487" s="261">
        <f t="shared" ca="1" si="96"/>
        <v>0</v>
      </c>
      <c r="P487" s="261">
        <f t="shared" ca="1" si="96"/>
        <v>0</v>
      </c>
      <c r="Q487" s="261">
        <f t="shared" ca="1" si="96"/>
        <v>0</v>
      </c>
    </row>
    <row r="488" spans="2:17" x14ac:dyDescent="0.25">
      <c r="B488" s="231" t="str">
        <f>'planning '!F489</f>
        <v>travail</v>
      </c>
      <c r="C488" s="232">
        <f t="shared" si="97"/>
        <v>44170</v>
      </c>
      <c r="D488" s="233"/>
      <c r="E488" s="240"/>
      <c r="F488" s="235">
        <f>IF(OR('planning '!$H489="",'planning '!$J489=""),0,IF('planning '!$J489&gt;'planning '!$H489,MEDIAN('planning '!$J489,F$2,F$1)-MEDIAN('planning '!$H489,F$2,F$1),+('planning '!$J489&lt;'planning '!$H489)*(F$2-F$1)+MEDIAN('planning '!$J489,F$1,F$2)-MEDIAN('planning '!$H489,F$1,F$2)))-'planning '!AA489</f>
        <v>0</v>
      </c>
      <c r="G488" s="237"/>
      <c r="H488" s="235">
        <f>IF(OR('planning '!$H489="",'planning '!$J489=""),0,IF('planning '!$J489&gt;'planning '!$H489,MEDIAN('planning '!$J489,H$2,H$1)-MEDIAN('planning '!$H489,H$2,H$1),+('planning '!$J489&lt;'planning '!$H489)*(H$2-H$1)+MEDIAN('planning '!$J489,H$1,H$2)-MEDIAN('planning '!$H489,H$1,H$2)))</f>
        <v>0</v>
      </c>
      <c r="I488" s="237"/>
      <c r="J488" s="234">
        <f>IF(OR('planning '!$H489="",'planning '!$J489=""),0,IF('planning '!$J489&gt;'planning '!$H489,MEDIAN('planning '!$J489,J$2,J$1)-MEDIAN('planning '!$H489,J$2,J$1),+('planning '!$J489&lt;'planning '!$H489)*(J$2-J$1)+MEDIAN('planning '!$J489,J$1,J$2)-MEDIAN('planning '!$H489,J$1,J$2)))</f>
        <v>0.33333333333333337</v>
      </c>
      <c r="K488" s="237"/>
      <c r="M488" s="17"/>
      <c r="N488" s="17"/>
      <c r="O488" s="17"/>
      <c r="P488" s="17"/>
      <c r="Q488" s="17"/>
    </row>
    <row r="489" spans="2:17" x14ac:dyDescent="0.25">
      <c r="B489" s="231" t="str">
        <f>'planning '!F490</f>
        <v>off</v>
      </c>
      <c r="C489" s="232">
        <f t="shared" si="97"/>
        <v>44171</v>
      </c>
      <c r="D489" s="233">
        <f>IF(OR('planning '!$H490="",'planning '!$J490=""),0,IF('planning '!$J490&gt;'planning '!$H490,MEDIAN('planning '!$J490,D$2,D$1)-MEDIAN('planning '!$H490,D$2,D$1),+('planning '!$J490&lt;'planning '!$H490)*(D$2-D$1)+MEDIAN('planning '!$J490,D$1,D$2)-MEDIAN('planning '!$H490,D$1,D$2)))-'planning '!V490</f>
        <v>0</v>
      </c>
      <c r="E489" s="240"/>
      <c r="F489" s="235">
        <f>IF(OR('planning '!$H490="",'planning '!$J490=""),0,IF('planning '!$J490&gt;'planning '!$H490,MEDIAN('planning '!$J490,F$2,F$1)-MEDIAN('planning '!$H490,F$2,F$1),+('planning '!$J490&lt;'planning '!$H490)*(F$2-F$1)+MEDIAN('planning '!$J490,F$1,F$2)-MEDIAN('planning '!$H490,F$1,F$2)))-'planning '!AA490</f>
        <v>0</v>
      </c>
      <c r="G489" s="237"/>
      <c r="H489" s="235">
        <f>IF(OR('planning '!$H490="",'planning '!$J490=""),0,IF('planning '!$J490&gt;'planning '!$H490,MEDIAN('planning '!$J490,H$2,H$1)-MEDIAN('planning '!$H490,H$2,H$1),+('planning '!$J490&lt;'planning '!$H490)*(H$2-H$1)+MEDIAN('planning '!$J490,H$1,H$2)-MEDIAN('planning '!$H490,H$1,H$2)))</f>
        <v>0</v>
      </c>
      <c r="I489" s="237"/>
      <c r="J489" s="234">
        <f>IF(OR('planning '!$H490="",'planning '!$J490=""),0,IF('planning '!$J490&gt;'planning '!$H490,MEDIAN('planning '!$J490,J$2,J$1)-MEDIAN('planning '!$H490,J$2,J$1),+('planning '!$J490&lt;'planning '!$H490)*(J$2-J$1)+MEDIAN('planning '!$J490,J$1,J$2)-MEDIAN('planning '!$H490,J$1,J$2)))</f>
        <v>0</v>
      </c>
      <c r="K489" s="237"/>
      <c r="M489" s="17"/>
      <c r="N489" s="17"/>
      <c r="O489" s="17"/>
      <c r="P489" s="17"/>
      <c r="Q489" s="17"/>
    </row>
    <row r="490" spans="2:17" ht="15.75" thickBot="1" x14ac:dyDescent="0.3">
      <c r="B490" s="231" t="str">
        <f>'planning '!F491</f>
        <v>off</v>
      </c>
      <c r="C490" s="232">
        <f t="shared" si="97"/>
        <v>44172</v>
      </c>
      <c r="D490" s="233">
        <f>IF(OR('planning '!$H491="",'planning '!$J491=""),0,IF('planning '!$J491&gt;'planning '!$H491,MEDIAN('planning '!$J491,D$2,D$1)-MEDIAN('planning '!$H491,D$2,D$1),+('planning '!$J491&lt;'planning '!$H491)*(D$2-D$1)+MEDIAN('planning '!$J491,D$1,D$2)-MEDIAN('planning '!$H491,D$1,D$2)))-'planning '!V491</f>
        <v>0</v>
      </c>
      <c r="E490" s="241"/>
      <c r="F490" s="235">
        <f>IF(OR('planning '!$H491="",'planning '!$J491=""),0,IF('planning '!$J491&gt;'planning '!$H491,MEDIAN('planning '!$J491,F$2,F$1)-MEDIAN('planning '!$H491,F$2,F$1),+('planning '!$J491&lt;'planning '!$H491)*(F$2-F$1)+MEDIAN('planning '!$J491,F$1,F$2)-MEDIAN('planning '!$H491,F$1,F$2)))-'planning '!AA491</f>
        <v>0</v>
      </c>
      <c r="G490" s="238"/>
      <c r="H490" s="235">
        <f>IF(OR('planning '!$H491="",'planning '!$J491=""),0,IF('planning '!$J491&gt;'planning '!$H491,MEDIAN('planning '!$J491,H$2,H$1)-MEDIAN('planning '!$H491,H$2,H$1),+('planning '!$J491&lt;'planning '!$H491)*(H$2-H$1)+MEDIAN('planning '!$J491,H$1,H$2)-MEDIAN('planning '!$H491,H$1,H$2)))</f>
        <v>0</v>
      </c>
      <c r="I490" s="238"/>
      <c r="J490" s="234">
        <f>IF(OR('planning '!$H491="",'planning '!$J491=""),0,IF('planning '!$J491&gt;'planning '!$H491,MEDIAN('planning '!$J491,J$2,J$1)-MEDIAN('planning '!$H491,J$2,J$1),+('planning '!$J491&lt;'planning '!$H491)*(J$2-J$1)+MEDIAN('planning '!$J491,J$1,J$2)-MEDIAN('planning '!$H491,J$1,J$2)))</f>
        <v>0</v>
      </c>
      <c r="K490" s="238"/>
      <c r="M490" s="17"/>
      <c r="N490" s="17"/>
      <c r="O490" s="17"/>
      <c r="P490" s="17"/>
      <c r="Q490" s="17"/>
    </row>
    <row r="491" spans="2:17" x14ac:dyDescent="0.25">
      <c r="M491" s="17"/>
      <c r="N491" s="17"/>
      <c r="O491" s="17"/>
      <c r="P491" s="17"/>
      <c r="Q491" s="17"/>
    </row>
    <row r="492" spans="2:17" x14ac:dyDescent="0.25">
      <c r="M492" s="17"/>
      <c r="N492" s="17"/>
      <c r="O492" s="17"/>
      <c r="P492" s="17"/>
      <c r="Q492" s="17"/>
    </row>
    <row r="493" spans="2:17" ht="15.75" thickBot="1" x14ac:dyDescent="0.3">
      <c r="M493" s="17"/>
      <c r="N493" s="17"/>
      <c r="O493" s="17"/>
      <c r="P493" s="17"/>
      <c r="Q493" s="17"/>
    </row>
    <row r="494" spans="2:17" x14ac:dyDescent="0.25">
      <c r="B494" s="231" t="str">
        <f>'planning '!F495</f>
        <v>travail</v>
      </c>
      <c r="C494" s="232">
        <f>'planning '!E495</f>
        <v>44173</v>
      </c>
      <c r="D494" s="233"/>
      <c r="E494" s="239"/>
      <c r="F494" s="235">
        <f>IF(OR('planning '!$H495="",'planning '!$J495=""),0,IF('planning '!$J495&gt;'planning '!$H495,MEDIAN('planning '!$J495,F$2,F$1)-MEDIAN('planning '!$H495,F$2,F$1),+('planning '!$J495&lt;'planning '!$H495)*(F$2-F$1)+MEDIAN('planning '!$J495,F$1,F$2)-MEDIAN('planning '!$H495,F$1,F$2)))-'planning '!AA495</f>
        <v>0</v>
      </c>
      <c r="G494" s="236"/>
      <c r="H494" s="235">
        <f>IF(OR('planning '!$H495="",'planning '!$J495=""),0,IF('planning '!$J495&gt;'planning '!$H495,MEDIAN('planning '!$J495,H$2,H$1)-MEDIAN('planning '!$H495,H$2,H$1),+('planning '!$J495&lt;'planning '!$H495)*(H$2-H$1)+MEDIAN('planning '!$J495,H$1,H$2)-MEDIAN('planning '!$H495,H$1,H$2)))</f>
        <v>0</v>
      </c>
      <c r="I494" s="236"/>
      <c r="J494" s="234">
        <f>IF(OR('planning '!$H495="",'planning '!$J495=""),0,IF('planning '!$J495&gt;'planning '!$H495,MEDIAN('planning '!$J495,J$2,J$1)-MEDIAN('planning '!$H495,J$2,J$1),+('planning '!$J495&lt;'planning '!$H495)*(J$2-J$1)+MEDIAN('planning '!$J495,J$1,J$2)-MEDIAN('planning '!$H495,J$1,J$2)))</f>
        <v>0.33333333333333337</v>
      </c>
      <c r="K494" s="236"/>
      <c r="M494" s="17"/>
      <c r="N494" s="262"/>
      <c r="O494" s="231" t="s">
        <v>114</v>
      </c>
      <c r="P494" s="17"/>
      <c r="Q494" s="17"/>
    </row>
    <row r="495" spans="2:17" x14ac:dyDescent="0.25">
      <c r="B495" s="231" t="str">
        <f>'planning '!F496</f>
        <v>travail</v>
      </c>
      <c r="C495" s="232">
        <f>C494+1</f>
        <v>44174</v>
      </c>
      <c r="D495" s="233"/>
      <c r="E495" s="240"/>
      <c r="F495" s="235">
        <f>IF(OR('planning '!$H496="",'planning '!$J496=""),0,IF('planning '!$J496&gt;'planning '!$H496,MEDIAN('planning '!$J496,F$2,F$1)-MEDIAN('planning '!$H496,F$2,F$1),+('planning '!$J496&lt;'planning '!$H496)*(F$2-F$1)+MEDIAN('planning '!$J496,F$1,F$2)-MEDIAN('planning '!$H496,F$1,F$2)))-'planning '!AA496</f>
        <v>0</v>
      </c>
      <c r="G495" s="237"/>
      <c r="H495" s="235">
        <f>IF(OR('planning '!$H496="",'planning '!$J496=""),0,IF('planning '!$J496&gt;'planning '!$H496,MEDIAN('planning '!$J496,H$2,H$1)-MEDIAN('planning '!$H496,H$2,H$1),+('planning '!$J496&lt;'planning '!$H496)*(H$2-H$1)+MEDIAN('planning '!$J496,H$1,H$2)-MEDIAN('planning '!$H496,H$1,H$2)))</f>
        <v>0</v>
      </c>
      <c r="I495" s="237"/>
      <c r="J495" s="234">
        <f>IF(OR('planning '!$H496="",'planning '!$J496=""),0,IF('planning '!$J496&gt;'planning '!$H496,MEDIAN('planning '!$J496,J$2,J$1)-MEDIAN('planning '!$H496,J$2,J$1),+('planning '!$J496&lt;'planning '!$H496)*(J$2-J$1)+MEDIAN('planning '!$J496,J$1,J$2)-MEDIAN('planning '!$H496,J$1,J$2)))</f>
        <v>0.33333333333333337</v>
      </c>
      <c r="K495" s="237"/>
      <c r="M495" s="17"/>
      <c r="N495" s="243" t="s">
        <v>117</v>
      </c>
      <c r="O495" s="243" t="s">
        <v>115</v>
      </c>
      <c r="P495" s="243" t="s">
        <v>116</v>
      </c>
      <c r="Q495" s="243" t="s">
        <v>118</v>
      </c>
    </row>
    <row r="496" spans="2:17" x14ac:dyDescent="0.25">
      <c r="B496" s="231" t="str">
        <f>'planning '!F497</f>
        <v>travail</v>
      </c>
      <c r="C496" s="232">
        <f>C495+1</f>
        <v>44175</v>
      </c>
      <c r="D496" s="233"/>
      <c r="E496" s="240"/>
      <c r="F496" s="235">
        <f>IF(OR('planning '!$H497="",'planning '!$J497=""),0,IF('planning '!$J497&gt;'planning '!$H497,MEDIAN('planning '!$J497,F$2,F$1)-MEDIAN('planning '!$H497,F$2,F$1),+('planning '!$J497&lt;'planning '!$H497)*(F$2-F$1)+MEDIAN('planning '!$J497,F$1,F$2)-MEDIAN('planning '!$H497,F$1,F$2)))-'planning '!AA497</f>
        <v>0</v>
      </c>
      <c r="G496" s="237"/>
      <c r="H496" s="235">
        <f>IF(OR('planning '!$H497="",'planning '!$J497=""),0,IF('planning '!$J497&gt;'planning '!$H497,MEDIAN('planning '!$J497,H$2,H$1)-MEDIAN('planning '!$H497,H$2,H$1),+('planning '!$J497&lt;'planning '!$H497)*(H$2-H$1)+MEDIAN('planning '!$J497,H$1,H$2)-MEDIAN('planning '!$H497,H$1,H$2)))</f>
        <v>0</v>
      </c>
      <c r="I496" s="237"/>
      <c r="J496" s="234">
        <f>IF(OR('planning '!$H497="",'planning '!$J497=""),0,IF('planning '!$J497&gt;'planning '!$H497,MEDIAN('planning '!$J497,J$2,J$1)-MEDIAN('planning '!$H497,J$2,J$1),+('planning '!$J497&lt;'planning '!$H497)*(J$2-J$1)+MEDIAN('planning '!$J497,J$1,J$2)-MEDIAN('planning '!$H497,J$1,J$2)))</f>
        <v>0.33333333333333337</v>
      </c>
      <c r="K496" s="237"/>
      <c r="M496" s="231" t="s">
        <v>111</v>
      </c>
      <c r="N496" s="261">
        <f t="shared" ref="N496:Q497" ca="1" si="98">SUMIF(OFFSET($C494:$C501,0,MATCH(N$10,$B$5:$H$5,0)-1,7,1),$K497,OFFSET($B494:$B500,0,MATCH(N$10,$B$5:$H$5,0)-1,7,1))</f>
        <v>0</v>
      </c>
      <c r="O496" s="261">
        <f t="shared" ca="1" si="98"/>
        <v>0</v>
      </c>
      <c r="P496" s="261">
        <f t="shared" ca="1" si="98"/>
        <v>0</v>
      </c>
      <c r="Q496" s="261">
        <f t="shared" ca="1" si="98"/>
        <v>0</v>
      </c>
    </row>
    <row r="497" spans="2:17" x14ac:dyDescent="0.25">
      <c r="B497" s="231" t="str">
        <f>'planning '!F498</f>
        <v>travail</v>
      </c>
      <c r="C497" s="232">
        <f t="shared" ref="C497:C500" si="99">C496+1</f>
        <v>44176</v>
      </c>
      <c r="D497" s="233"/>
      <c r="E497" s="240"/>
      <c r="F497" s="235">
        <f>IF(OR('planning '!$H498="",'planning '!$J498=""),0,IF('planning '!$J498&gt;'planning '!$H498,MEDIAN('planning '!$J498,F$2,F$1)-MEDIAN('planning '!$H498,F$2,F$1),+('planning '!$J498&lt;'planning '!$H498)*(F$2-F$1)+MEDIAN('planning '!$J498,F$1,F$2)-MEDIAN('planning '!$H498,F$1,F$2)))-'planning '!AA498</f>
        <v>0</v>
      </c>
      <c r="G497" s="237"/>
      <c r="H497" s="235">
        <f>IF(OR('planning '!$H498="",'planning '!$J498=""),0,IF('planning '!$J498&gt;'planning '!$H498,MEDIAN('planning '!$J498,H$2,H$1)-MEDIAN('planning '!$H498,H$2,H$1),+('planning '!$J498&lt;'planning '!$H498)*(H$2-H$1)+MEDIAN('planning '!$J498,H$1,H$2)-MEDIAN('planning '!$H498,H$1,H$2)))</f>
        <v>0</v>
      </c>
      <c r="I497" s="237"/>
      <c r="J497" s="234">
        <f>IF(OR('planning '!$H498="",'planning '!$J498=""),0,IF('planning '!$J498&gt;'planning '!$H498,MEDIAN('planning '!$J498,J$2,J$1)-MEDIAN('planning '!$H498,J$2,J$1),+('planning '!$J498&lt;'planning '!$H498)*(J$2-J$1)+MEDIAN('planning '!$J498,J$1,J$2)-MEDIAN('planning '!$H498,J$1,J$2)))</f>
        <v>0.33333333333333337</v>
      </c>
      <c r="K497" s="237"/>
      <c r="M497" s="231" t="s">
        <v>21</v>
      </c>
      <c r="N497" s="261">
        <f t="shared" ca="1" si="98"/>
        <v>0</v>
      </c>
      <c r="O497" s="261">
        <f t="shared" ca="1" si="98"/>
        <v>0</v>
      </c>
      <c r="P497" s="261">
        <f t="shared" ca="1" si="98"/>
        <v>0</v>
      </c>
      <c r="Q497" s="261">
        <f t="shared" ca="1" si="98"/>
        <v>0</v>
      </c>
    </row>
    <row r="498" spans="2:17" x14ac:dyDescent="0.25">
      <c r="B498" s="231" t="str">
        <f>'planning '!F499</f>
        <v>travail</v>
      </c>
      <c r="C498" s="232">
        <f t="shared" si="99"/>
        <v>44177</v>
      </c>
      <c r="D498" s="233"/>
      <c r="E498" s="240"/>
      <c r="F498" s="235">
        <f>IF(OR('planning '!$H499="",'planning '!$J499=""),0,IF('planning '!$J499&gt;'planning '!$H499,MEDIAN('planning '!$J499,F$2,F$1)-MEDIAN('planning '!$H499,F$2,F$1),+('planning '!$J499&lt;'planning '!$H499)*(F$2-F$1)+MEDIAN('planning '!$J499,F$1,F$2)-MEDIAN('planning '!$H499,F$1,F$2)))-'planning '!AA499</f>
        <v>0</v>
      </c>
      <c r="G498" s="237"/>
      <c r="H498" s="235">
        <f>IF(OR('planning '!$H499="",'planning '!$J499=""),0,IF('planning '!$J499&gt;'planning '!$H499,MEDIAN('planning '!$J499,H$2,H$1)-MEDIAN('planning '!$H499,H$2,H$1),+('planning '!$J499&lt;'planning '!$H499)*(H$2-H$1)+MEDIAN('planning '!$J499,H$1,H$2)-MEDIAN('planning '!$H499,H$1,H$2)))</f>
        <v>0</v>
      </c>
      <c r="I498" s="237"/>
      <c r="J498" s="234">
        <f>IF(OR('planning '!$H499="",'planning '!$J499=""),0,IF('planning '!$J499&gt;'planning '!$H499,MEDIAN('planning '!$J499,J$2,J$1)-MEDIAN('planning '!$H499,J$2,J$1),+('planning '!$J499&lt;'planning '!$H499)*(J$2-J$1)+MEDIAN('planning '!$J499,J$1,J$2)-MEDIAN('planning '!$H499,J$1,J$2)))</f>
        <v>0.33333333333333337</v>
      </c>
      <c r="K498" s="237"/>
      <c r="M498" s="17"/>
      <c r="N498" s="17"/>
      <c r="O498" s="17"/>
      <c r="P498" s="17"/>
      <c r="Q498" s="17"/>
    </row>
    <row r="499" spans="2:17" x14ac:dyDescent="0.25">
      <c r="B499" s="231" t="str">
        <f>'planning '!F500</f>
        <v>off</v>
      </c>
      <c r="C499" s="232">
        <f t="shared" si="99"/>
        <v>44178</v>
      </c>
      <c r="D499" s="233">
        <f>IF(OR('planning '!$H500="",'planning '!$J500=""),0,IF('planning '!$J500&gt;'planning '!$H500,MEDIAN('planning '!$J500,D$2,D$1)-MEDIAN('planning '!$H500,D$2,D$1),+('planning '!$J500&lt;'planning '!$H500)*(D$2-D$1)+MEDIAN('planning '!$J500,D$1,D$2)-MEDIAN('planning '!$H500,D$1,D$2)))-'planning '!V500</f>
        <v>0</v>
      </c>
      <c r="E499" s="240"/>
      <c r="F499" s="235">
        <f>IF(OR('planning '!$H500="",'planning '!$J500=""),0,IF('planning '!$J500&gt;'planning '!$H500,MEDIAN('planning '!$J500,F$2,F$1)-MEDIAN('planning '!$H500,F$2,F$1),+('planning '!$J500&lt;'planning '!$H500)*(F$2-F$1)+MEDIAN('planning '!$J500,F$1,F$2)-MEDIAN('planning '!$H500,F$1,F$2)))-'planning '!AA500</f>
        <v>0</v>
      </c>
      <c r="G499" s="237"/>
      <c r="H499" s="235">
        <f>IF(OR('planning '!$H500="",'planning '!$J500=""),0,IF('planning '!$J500&gt;'planning '!$H500,MEDIAN('planning '!$J500,H$2,H$1)-MEDIAN('planning '!$H500,H$2,H$1),+('planning '!$J500&lt;'planning '!$H500)*(H$2-H$1)+MEDIAN('planning '!$J500,H$1,H$2)-MEDIAN('planning '!$H500,H$1,H$2)))</f>
        <v>0</v>
      </c>
      <c r="I499" s="237"/>
      <c r="J499" s="234">
        <f>IF(OR('planning '!$H500="",'planning '!$J500=""),0,IF('planning '!$J500&gt;'planning '!$H500,MEDIAN('planning '!$J500,J$2,J$1)-MEDIAN('planning '!$H500,J$2,J$1),+('planning '!$J500&lt;'planning '!$H500)*(J$2-J$1)+MEDIAN('planning '!$J500,J$1,J$2)-MEDIAN('planning '!$H500,J$1,J$2)))</f>
        <v>0</v>
      </c>
      <c r="K499" s="237"/>
      <c r="M499" s="17"/>
      <c r="N499" s="17"/>
      <c r="O499" s="17"/>
      <c r="P499" s="17"/>
      <c r="Q499" s="17"/>
    </row>
    <row r="500" spans="2:17" ht="15.75" thickBot="1" x14ac:dyDescent="0.3">
      <c r="B500" s="231" t="str">
        <f>'planning '!F501</f>
        <v>off</v>
      </c>
      <c r="C500" s="232">
        <f t="shared" si="99"/>
        <v>44179</v>
      </c>
      <c r="D500" s="233">
        <f>IF(OR('planning '!$H501="",'planning '!$J501=""),0,IF('planning '!$J501&gt;'planning '!$H501,MEDIAN('planning '!$J501,D$2,D$1)-MEDIAN('planning '!$H501,D$2,D$1),+('planning '!$J501&lt;'planning '!$H501)*(D$2-D$1)+MEDIAN('planning '!$J501,D$1,D$2)-MEDIAN('planning '!$H501,D$1,D$2)))-'planning '!V501</f>
        <v>0</v>
      </c>
      <c r="E500" s="241"/>
      <c r="F500" s="235">
        <f>IF(OR('planning '!$H501="",'planning '!$J501=""),0,IF('planning '!$J501&gt;'planning '!$H501,MEDIAN('planning '!$J501,F$2,F$1)-MEDIAN('planning '!$H501,F$2,F$1),+('planning '!$J501&lt;'planning '!$H501)*(F$2-F$1)+MEDIAN('planning '!$J501,F$1,F$2)-MEDIAN('planning '!$H501,F$1,F$2)))-'planning '!AA501</f>
        <v>0</v>
      </c>
      <c r="G500" s="238"/>
      <c r="H500" s="235">
        <f>IF(OR('planning '!$H501="",'planning '!$J501=""),0,IF('planning '!$J501&gt;'planning '!$H501,MEDIAN('planning '!$J501,H$2,H$1)-MEDIAN('planning '!$H501,H$2,H$1),+('planning '!$J501&lt;'planning '!$H501)*(H$2-H$1)+MEDIAN('planning '!$J501,H$1,H$2)-MEDIAN('planning '!$H501,H$1,H$2)))</f>
        <v>0</v>
      </c>
      <c r="I500" s="238"/>
      <c r="J500" s="234">
        <f>IF(OR('planning '!$H501="",'planning '!$J501=""),0,IF('planning '!$J501&gt;'planning '!$H501,MEDIAN('planning '!$J501,J$2,J$1)-MEDIAN('planning '!$H501,J$2,J$1),+('planning '!$J501&lt;'planning '!$H501)*(J$2-J$1)+MEDIAN('planning '!$J501,J$1,J$2)-MEDIAN('planning '!$H501,J$1,J$2)))</f>
        <v>0</v>
      </c>
      <c r="K500" s="238"/>
      <c r="M500" s="17"/>
      <c r="N500" s="17"/>
      <c r="O500" s="17"/>
      <c r="P500" s="17"/>
      <c r="Q500" s="17"/>
    </row>
    <row r="501" spans="2:17" x14ac:dyDescent="0.25">
      <c r="M501" s="17"/>
      <c r="N501" s="17"/>
      <c r="O501" s="17"/>
      <c r="P501" s="17"/>
      <c r="Q501" s="17"/>
    </row>
    <row r="502" spans="2:17" x14ac:dyDescent="0.25">
      <c r="M502" s="17"/>
      <c r="N502" s="17"/>
      <c r="O502" s="17"/>
      <c r="P502" s="17"/>
      <c r="Q502" s="17"/>
    </row>
    <row r="503" spans="2:17" ht="15.75" thickBot="1" x14ac:dyDescent="0.3">
      <c r="M503" s="17"/>
      <c r="N503" s="17"/>
      <c r="O503" s="17"/>
      <c r="P503" s="17"/>
      <c r="Q503" s="17"/>
    </row>
    <row r="504" spans="2:17" x14ac:dyDescent="0.25">
      <c r="B504" s="231" t="str">
        <f>'planning '!F505</f>
        <v>travail</v>
      </c>
      <c r="C504" s="232">
        <f>'planning '!E505</f>
        <v>44180</v>
      </c>
      <c r="D504" s="233"/>
      <c r="E504" s="239"/>
      <c r="F504" s="235">
        <f>IF(OR('planning '!$H505="",'planning '!$J505=""),0,IF('planning '!$J505&gt;'planning '!$H505,MEDIAN('planning '!$J505,F$2,F$1)-MEDIAN('planning '!$H505,F$2,F$1),+('planning '!$J505&lt;'planning '!$H505)*(F$2-F$1)+MEDIAN('planning '!$J505,F$1,F$2)-MEDIAN('planning '!$H505,F$1,F$2)))-'planning '!AA505</f>
        <v>0</v>
      </c>
      <c r="G504" s="236"/>
      <c r="H504" s="235">
        <f>IF(OR('planning '!$H505="",'planning '!$J505=""),0,IF('planning '!$J505&gt;'planning '!$H505,MEDIAN('planning '!$J505,H$2,H$1)-MEDIAN('planning '!$H505,H$2,H$1),+('planning '!$J505&lt;'planning '!$H505)*(H$2-H$1)+MEDIAN('planning '!$J505,H$1,H$2)-MEDIAN('planning '!$H505,H$1,H$2)))</f>
        <v>0</v>
      </c>
      <c r="I504" s="236"/>
      <c r="J504" s="234">
        <f>IF(OR('planning '!$H505="",'planning '!$J505=""),0,IF('planning '!$J505&gt;'planning '!$H505,MEDIAN('planning '!$J505,J$2,J$1)-MEDIAN('planning '!$H505,J$2,J$1),+('planning '!$J505&lt;'planning '!$H505)*(J$2-J$1)+MEDIAN('planning '!$J505,J$1,J$2)-MEDIAN('planning '!$H505,J$1,J$2)))</f>
        <v>0.33333333333333337</v>
      </c>
      <c r="K504" s="236"/>
      <c r="M504" s="17"/>
      <c r="N504" s="264"/>
      <c r="O504" s="265" t="s">
        <v>114</v>
      </c>
      <c r="P504" s="266"/>
      <c r="Q504" s="17"/>
    </row>
    <row r="505" spans="2:17" x14ac:dyDescent="0.25">
      <c r="B505" s="231" t="str">
        <f>'planning '!F506</f>
        <v>travail</v>
      </c>
      <c r="C505" s="232">
        <f>C504+1</f>
        <v>44181</v>
      </c>
      <c r="D505" s="233"/>
      <c r="E505" s="240"/>
      <c r="F505" s="235">
        <f>IF(OR('planning '!$H506="",'planning '!$J506=""),0,IF('planning '!$J506&gt;'planning '!$H506,MEDIAN('planning '!$J506,F$2,F$1)-MEDIAN('planning '!$H506,F$2,F$1),+('planning '!$J506&lt;'planning '!$H506)*(F$2-F$1)+MEDIAN('planning '!$J506,F$1,F$2)-MEDIAN('planning '!$H506,F$1,F$2)))-'planning '!AA506</f>
        <v>0</v>
      </c>
      <c r="G505" s="237"/>
      <c r="H505" s="235">
        <f>IF(OR('planning '!$H506="",'planning '!$J506=""),0,IF('planning '!$J506&gt;'planning '!$H506,MEDIAN('planning '!$J506,H$2,H$1)-MEDIAN('planning '!$H506,H$2,H$1),+('planning '!$J506&lt;'planning '!$H506)*(H$2-H$1)+MEDIAN('planning '!$J506,H$1,H$2)-MEDIAN('planning '!$H506,H$1,H$2)))</f>
        <v>0</v>
      </c>
      <c r="I505" s="237"/>
      <c r="J505" s="234">
        <f>IF(OR('planning '!$H506="",'planning '!$J506=""),0,IF('planning '!$J506&gt;'planning '!$H506,MEDIAN('planning '!$J506,J$2,J$1)-MEDIAN('planning '!$H506,J$2,J$1),+('planning '!$J506&lt;'planning '!$H506)*(J$2-J$1)+MEDIAN('planning '!$J506,J$1,J$2)-MEDIAN('planning '!$H506,J$1,J$2)))</f>
        <v>0.33333333333333337</v>
      </c>
      <c r="K505" s="237"/>
      <c r="M505" s="17"/>
      <c r="N505" s="263" t="s">
        <v>117</v>
      </c>
      <c r="O505" s="263" t="s">
        <v>115</v>
      </c>
      <c r="P505" s="263" t="s">
        <v>116</v>
      </c>
      <c r="Q505" s="243" t="s">
        <v>118</v>
      </c>
    </row>
    <row r="506" spans="2:17" x14ac:dyDescent="0.25">
      <c r="B506" s="231" t="str">
        <f>'planning '!F507</f>
        <v>travail</v>
      </c>
      <c r="C506" s="232">
        <f>C505+1</f>
        <v>44182</v>
      </c>
      <c r="D506" s="233"/>
      <c r="E506" s="240"/>
      <c r="F506" s="235">
        <f>IF(OR('planning '!$H507="",'planning '!$J507=""),0,IF('planning '!$J507&gt;'planning '!$H507,MEDIAN('planning '!$J507,F$2,F$1)-MEDIAN('planning '!$H507,F$2,F$1),+('planning '!$J507&lt;'planning '!$H507)*(F$2-F$1)+MEDIAN('planning '!$J507,F$1,F$2)-MEDIAN('planning '!$H507,F$1,F$2)))-'planning '!AA507</f>
        <v>0</v>
      </c>
      <c r="G506" s="237"/>
      <c r="H506" s="235">
        <f>IF(OR('planning '!$H507="",'planning '!$J507=""),0,IF('planning '!$J507&gt;'planning '!$H507,MEDIAN('planning '!$J507,H$2,H$1)-MEDIAN('planning '!$H507,H$2,H$1),+('planning '!$J507&lt;'planning '!$H507)*(H$2-H$1)+MEDIAN('planning '!$J507,H$1,H$2)-MEDIAN('planning '!$H507,H$1,H$2)))</f>
        <v>0</v>
      </c>
      <c r="I506" s="237"/>
      <c r="J506" s="234">
        <f>IF(OR('planning '!$H507="",'planning '!$J507=""),0,IF('planning '!$J507&gt;'planning '!$H507,MEDIAN('planning '!$J507,J$2,J$1)-MEDIAN('planning '!$H507,J$2,J$1),+('planning '!$J507&lt;'planning '!$H507)*(J$2-J$1)+MEDIAN('planning '!$J507,J$1,J$2)-MEDIAN('planning '!$H507,J$1,J$2)))</f>
        <v>0.33333333333333337</v>
      </c>
      <c r="K506" s="237"/>
      <c r="M506" s="231" t="s">
        <v>111</v>
      </c>
      <c r="N506" s="261">
        <f t="shared" ref="N506:Q507" ca="1" si="100">SUMIF(OFFSET($C504:$C511,0,MATCH(N$10,$B$5:$H$5,0)-1,7,1),$K507,OFFSET($B504:$B510,0,MATCH(N$10,$B$5:$H$5,0)-1,7,1))</f>
        <v>0</v>
      </c>
      <c r="O506" s="261">
        <f t="shared" ca="1" si="100"/>
        <v>0</v>
      </c>
      <c r="P506" s="261">
        <f t="shared" ca="1" si="100"/>
        <v>0</v>
      </c>
      <c r="Q506" s="261">
        <f t="shared" ca="1" si="100"/>
        <v>0</v>
      </c>
    </row>
    <row r="507" spans="2:17" x14ac:dyDescent="0.25">
      <c r="B507" s="231" t="str">
        <f>'planning '!F508</f>
        <v>travail</v>
      </c>
      <c r="C507" s="232">
        <f t="shared" ref="C507:C510" si="101">C506+1</f>
        <v>44183</v>
      </c>
      <c r="D507" s="233"/>
      <c r="E507" s="240"/>
      <c r="F507" s="235">
        <f>IF(OR('planning '!$H508="",'planning '!$J508=""),0,IF('planning '!$J508&gt;'planning '!$H508,MEDIAN('planning '!$J508,F$2,F$1)-MEDIAN('planning '!$H508,F$2,F$1),+('planning '!$J508&lt;'planning '!$H508)*(F$2-F$1)+MEDIAN('planning '!$J508,F$1,F$2)-MEDIAN('planning '!$H508,F$1,F$2)))-'planning '!AA508</f>
        <v>0</v>
      </c>
      <c r="G507" s="237"/>
      <c r="H507" s="235">
        <f>IF(OR('planning '!$H508="",'planning '!$J508=""),0,IF('planning '!$J508&gt;'planning '!$H508,MEDIAN('planning '!$J508,H$2,H$1)-MEDIAN('planning '!$H508,H$2,H$1),+('planning '!$J508&lt;'planning '!$H508)*(H$2-H$1)+MEDIAN('planning '!$J508,H$1,H$2)-MEDIAN('planning '!$H508,H$1,H$2)))</f>
        <v>0</v>
      </c>
      <c r="I507" s="237"/>
      <c r="J507" s="234">
        <f>IF(OR('planning '!$H508="",'planning '!$J508=""),0,IF('planning '!$J508&gt;'planning '!$H508,MEDIAN('planning '!$J508,J$2,J$1)-MEDIAN('planning '!$H508,J$2,J$1),+('planning '!$J508&lt;'planning '!$H508)*(J$2-J$1)+MEDIAN('planning '!$J508,J$1,J$2)-MEDIAN('planning '!$H508,J$1,J$2)))</f>
        <v>0.33333333333333337</v>
      </c>
      <c r="K507" s="237"/>
      <c r="M507" s="231" t="s">
        <v>21</v>
      </c>
      <c r="N507" s="261">
        <f t="shared" ca="1" si="100"/>
        <v>0</v>
      </c>
      <c r="O507" s="261">
        <f t="shared" ca="1" si="100"/>
        <v>0</v>
      </c>
      <c r="P507" s="261">
        <f t="shared" ca="1" si="100"/>
        <v>0</v>
      </c>
      <c r="Q507" s="261">
        <f t="shared" ca="1" si="100"/>
        <v>0</v>
      </c>
    </row>
    <row r="508" spans="2:17" x14ac:dyDescent="0.25">
      <c r="B508" s="231" t="str">
        <f>'planning '!F509</f>
        <v>travail</v>
      </c>
      <c r="C508" s="232">
        <f t="shared" si="101"/>
        <v>44184</v>
      </c>
      <c r="D508" s="233"/>
      <c r="E508" s="240"/>
      <c r="F508" s="235">
        <f>IF(OR('planning '!$H509="",'planning '!$J509=""),0,IF('planning '!$J509&gt;'planning '!$H509,MEDIAN('planning '!$J509,F$2,F$1)-MEDIAN('planning '!$H509,F$2,F$1),+('planning '!$J509&lt;'planning '!$H509)*(F$2-F$1)+MEDIAN('planning '!$J509,F$1,F$2)-MEDIAN('planning '!$H509,F$1,F$2)))-'planning '!AA509</f>
        <v>0</v>
      </c>
      <c r="G508" s="237"/>
      <c r="H508" s="235">
        <f>IF(OR('planning '!$H509="",'planning '!$J509=""),0,IF('planning '!$J509&gt;'planning '!$H509,MEDIAN('planning '!$J509,H$2,H$1)-MEDIAN('planning '!$H509,H$2,H$1),+('planning '!$J509&lt;'planning '!$H509)*(H$2-H$1)+MEDIAN('planning '!$J509,H$1,H$2)-MEDIAN('planning '!$H509,H$1,H$2)))</f>
        <v>0</v>
      </c>
      <c r="I508" s="237"/>
      <c r="J508" s="234">
        <f>IF(OR('planning '!$H509="",'planning '!$J509=""),0,IF('planning '!$J509&gt;'planning '!$H509,MEDIAN('planning '!$J509,J$2,J$1)-MEDIAN('planning '!$H509,J$2,J$1),+('planning '!$J509&lt;'planning '!$H509)*(J$2-J$1)+MEDIAN('planning '!$J509,J$1,J$2)-MEDIAN('planning '!$H509,J$1,J$2)))</f>
        <v>0.33333333333333337</v>
      </c>
      <c r="K508" s="237"/>
      <c r="M508" s="17"/>
      <c r="N508" s="17"/>
      <c r="O508" s="17"/>
      <c r="P508" s="17"/>
      <c r="Q508" s="17"/>
    </row>
    <row r="509" spans="2:17" x14ac:dyDescent="0.25">
      <c r="B509" s="231" t="str">
        <f>'planning '!F510</f>
        <v>off</v>
      </c>
      <c r="C509" s="232">
        <f t="shared" si="101"/>
        <v>44185</v>
      </c>
      <c r="D509" s="233">
        <f>IF(OR('planning '!$H510="",'planning '!$J510=""),0,IF('planning '!$J510&gt;'planning '!$H510,MEDIAN('planning '!$J510,D$2,D$1)-MEDIAN('planning '!$H510,D$2,D$1),+('planning '!$J510&lt;'planning '!$H510)*(D$2-D$1)+MEDIAN('planning '!$J510,D$1,D$2)-MEDIAN('planning '!$H510,D$1,D$2)))-'planning '!V510</f>
        <v>0</v>
      </c>
      <c r="E509" s="240"/>
      <c r="F509" s="235">
        <f>IF(OR('planning '!$H510="",'planning '!$J510=""),0,IF('planning '!$J510&gt;'planning '!$H510,MEDIAN('planning '!$J510,F$2,F$1)-MEDIAN('planning '!$H510,F$2,F$1),+('planning '!$J510&lt;'planning '!$H510)*(F$2-F$1)+MEDIAN('planning '!$J510,F$1,F$2)-MEDIAN('planning '!$H510,F$1,F$2)))-'planning '!AA510</f>
        <v>0</v>
      </c>
      <c r="G509" s="237"/>
      <c r="H509" s="235">
        <f>IF(OR('planning '!$H510="",'planning '!$J510=""),0,IF('planning '!$J510&gt;'planning '!$H510,MEDIAN('planning '!$J510,H$2,H$1)-MEDIAN('planning '!$H510,H$2,H$1),+('planning '!$J510&lt;'planning '!$H510)*(H$2-H$1)+MEDIAN('planning '!$J510,H$1,H$2)-MEDIAN('planning '!$H510,H$1,H$2)))</f>
        <v>0</v>
      </c>
      <c r="I509" s="237"/>
      <c r="J509" s="234">
        <f>IF(OR('planning '!$H510="",'planning '!$J510=""),0,IF('planning '!$J510&gt;'planning '!$H510,MEDIAN('planning '!$J510,J$2,J$1)-MEDIAN('planning '!$H510,J$2,J$1),+('planning '!$J510&lt;'planning '!$H510)*(J$2-J$1)+MEDIAN('planning '!$J510,J$1,J$2)-MEDIAN('planning '!$H510,J$1,J$2)))</f>
        <v>0</v>
      </c>
      <c r="K509" s="237"/>
      <c r="M509" s="17"/>
      <c r="N509" s="17"/>
      <c r="O509" s="17"/>
      <c r="P509" s="17"/>
      <c r="Q509" s="17"/>
    </row>
    <row r="510" spans="2:17" ht="15.75" thickBot="1" x14ac:dyDescent="0.3">
      <c r="B510" s="231" t="str">
        <f>'planning '!F511</f>
        <v>off</v>
      </c>
      <c r="C510" s="232">
        <f t="shared" si="101"/>
        <v>44186</v>
      </c>
      <c r="D510" s="233">
        <f>IF(OR('planning '!$H511="",'planning '!$J511=""),0,IF('planning '!$J511&gt;'planning '!$H511,MEDIAN('planning '!$J511,D$2,D$1)-MEDIAN('planning '!$H511,D$2,D$1),+('planning '!$J511&lt;'planning '!$H511)*(D$2-D$1)+MEDIAN('planning '!$J511,D$1,D$2)-MEDIAN('planning '!$H511,D$1,D$2)))-'planning '!V511</f>
        <v>0</v>
      </c>
      <c r="E510" s="241"/>
      <c r="F510" s="235">
        <f>IF(OR('planning '!$H511="",'planning '!$J511=""),0,IF('planning '!$J511&gt;'planning '!$H511,MEDIAN('planning '!$J511,F$2,F$1)-MEDIAN('planning '!$H511,F$2,F$1),+('planning '!$J511&lt;'planning '!$H511)*(F$2-F$1)+MEDIAN('planning '!$J511,F$1,F$2)-MEDIAN('planning '!$H511,F$1,F$2)))-'planning '!AA511</f>
        <v>0</v>
      </c>
      <c r="G510" s="238"/>
      <c r="H510" s="235">
        <f>IF(OR('planning '!$H511="",'planning '!$J511=""),0,IF('planning '!$J511&gt;'planning '!$H511,MEDIAN('planning '!$J511,H$2,H$1)-MEDIAN('planning '!$H511,H$2,H$1),+('planning '!$J511&lt;'planning '!$H511)*(H$2-H$1)+MEDIAN('planning '!$J511,H$1,H$2)-MEDIAN('planning '!$H511,H$1,H$2)))</f>
        <v>0</v>
      </c>
      <c r="I510" s="238"/>
      <c r="J510" s="234">
        <f>IF(OR('planning '!$H511="",'planning '!$J511=""),0,IF('planning '!$J511&gt;'planning '!$H511,MEDIAN('planning '!$J511,J$2,J$1)-MEDIAN('planning '!$H511,J$2,J$1),+('planning '!$J511&lt;'planning '!$H511)*(J$2-J$1)+MEDIAN('planning '!$J511,J$1,J$2)-MEDIAN('planning '!$H511,J$1,J$2)))</f>
        <v>0</v>
      </c>
      <c r="K510" s="238"/>
      <c r="M510" s="17"/>
      <c r="N510" s="17"/>
      <c r="O510" s="17"/>
      <c r="P510" s="17"/>
      <c r="Q510" s="17"/>
    </row>
    <row r="511" spans="2:17" x14ac:dyDescent="0.25">
      <c r="M511" s="17"/>
      <c r="N511" s="17"/>
      <c r="O511" s="17"/>
      <c r="P511" s="17"/>
      <c r="Q511" s="17"/>
    </row>
    <row r="512" spans="2:17" x14ac:dyDescent="0.25">
      <c r="M512" s="17"/>
      <c r="N512" s="17"/>
      <c r="O512" s="17"/>
      <c r="P512" s="17"/>
      <c r="Q512" s="17"/>
    </row>
    <row r="513" spans="2:17" ht="15.75" thickBot="1" x14ac:dyDescent="0.3">
      <c r="M513" s="17"/>
      <c r="N513" s="17"/>
      <c r="O513" s="17"/>
      <c r="P513" s="17"/>
      <c r="Q513" s="17"/>
    </row>
    <row r="514" spans="2:17" x14ac:dyDescent="0.25">
      <c r="B514" s="231" t="str">
        <f>'planning '!F515</f>
        <v>congé 1 jour</v>
      </c>
      <c r="C514" s="232">
        <f>'planning '!E515</f>
        <v>44187</v>
      </c>
      <c r="D514" s="233"/>
      <c r="E514" s="239"/>
      <c r="F514" s="235">
        <f>IF(OR('planning '!$H515="",'planning '!$J515=""),0,IF('planning '!$J515&gt;'planning '!$H515,MEDIAN('planning '!$J515,F$2,F$1)-MEDIAN('planning '!$H515,F$2,F$1),+('planning '!$J515&lt;'planning '!$H515)*(F$2-F$1)+MEDIAN('planning '!$J515,F$1,F$2)-MEDIAN('planning '!$H515,F$1,F$2)))-'planning '!AA515</f>
        <v>0</v>
      </c>
      <c r="G514" s="236"/>
      <c r="H514" s="235">
        <f>IF(OR('planning '!$H515="",'planning '!$J515=""),0,IF('planning '!$J515&gt;'planning '!$H515,MEDIAN('planning '!$J515,H$2,H$1)-MEDIAN('planning '!$H515,H$2,H$1),+('planning '!$J515&lt;'planning '!$H515)*(H$2-H$1)+MEDIAN('planning '!$J515,H$1,H$2)-MEDIAN('planning '!$H515,H$1,H$2)))</f>
        <v>0</v>
      </c>
      <c r="I514" s="236"/>
      <c r="J514" s="234">
        <f>IF(OR('planning '!$H515="",'planning '!$J515=""),0,IF('planning '!$J515&gt;'planning '!$H515,MEDIAN('planning '!$J515,J$2,J$1)-MEDIAN('planning '!$H515,J$2,J$1),+('planning '!$J515&lt;'planning '!$H515)*(J$2-J$1)+MEDIAN('planning '!$J515,J$1,J$2)-MEDIAN('planning '!$H515,J$1,J$2)))</f>
        <v>0</v>
      </c>
      <c r="K514" s="236"/>
      <c r="M514" s="17"/>
      <c r="N514" s="264"/>
      <c r="O514" s="265" t="s">
        <v>114</v>
      </c>
      <c r="P514" s="266"/>
      <c r="Q514" s="17"/>
    </row>
    <row r="515" spans="2:17" x14ac:dyDescent="0.25">
      <c r="B515" s="231" t="str">
        <f>'planning '!F516</f>
        <v>congé 1 jour</v>
      </c>
      <c r="C515" s="232">
        <f>C514+1</f>
        <v>44188</v>
      </c>
      <c r="D515" s="233"/>
      <c r="E515" s="240"/>
      <c r="F515" s="235">
        <f>IF(OR('planning '!$H516="",'planning '!$J516=""),0,IF('planning '!$J516&gt;'planning '!$H516,MEDIAN('planning '!$J516,F$2,F$1)-MEDIAN('planning '!$H516,F$2,F$1),+('planning '!$J516&lt;'planning '!$H516)*(F$2-F$1)+MEDIAN('planning '!$J516,F$1,F$2)-MEDIAN('planning '!$H516,F$1,F$2)))-'planning '!AA516</f>
        <v>0</v>
      </c>
      <c r="G515" s="237"/>
      <c r="H515" s="235">
        <f>IF(OR('planning '!$H516="",'planning '!$J516=""),0,IF('planning '!$J516&gt;'planning '!$H516,MEDIAN('planning '!$J516,H$2,H$1)-MEDIAN('planning '!$H516,H$2,H$1),+('planning '!$J516&lt;'planning '!$H516)*(H$2-H$1)+MEDIAN('planning '!$J516,H$1,H$2)-MEDIAN('planning '!$H516,H$1,H$2)))</f>
        <v>0</v>
      </c>
      <c r="I515" s="237"/>
      <c r="J515" s="234">
        <f>IF(OR('planning '!$H516="",'planning '!$J516=""),0,IF('planning '!$J516&gt;'planning '!$H516,MEDIAN('planning '!$J516,J$2,J$1)-MEDIAN('planning '!$H516,J$2,J$1),+('planning '!$J516&lt;'planning '!$H516)*(J$2-J$1)+MEDIAN('planning '!$J516,J$1,J$2)-MEDIAN('planning '!$H516,J$1,J$2)))</f>
        <v>0</v>
      </c>
      <c r="K515" s="237"/>
      <c r="M515" s="17"/>
      <c r="N515" s="263" t="s">
        <v>117</v>
      </c>
      <c r="O515" s="263" t="s">
        <v>115</v>
      </c>
      <c r="P515" s="263" t="s">
        <v>116</v>
      </c>
      <c r="Q515" s="243" t="s">
        <v>118</v>
      </c>
    </row>
    <row r="516" spans="2:17" x14ac:dyDescent="0.25">
      <c r="B516" s="231" t="str">
        <f>'planning '!F517</f>
        <v xml:space="preserve">férié </v>
      </c>
      <c r="C516" s="232">
        <f>C515+1</f>
        <v>44189</v>
      </c>
      <c r="D516" s="233"/>
      <c r="E516" s="240"/>
      <c r="F516" s="235">
        <f>IF(OR('planning '!$H517="",'planning '!$J517=""),0,IF('planning '!$J517&gt;'planning '!$H517,MEDIAN('planning '!$J517,F$2,F$1)-MEDIAN('planning '!$H517,F$2,F$1),+('planning '!$J517&lt;'planning '!$H517)*(F$2-F$1)+MEDIAN('planning '!$J517,F$1,F$2)-MEDIAN('planning '!$H517,F$1,F$2)))-'planning '!AA517</f>
        <v>0</v>
      </c>
      <c r="G516" s="237"/>
      <c r="H516" s="235">
        <f>IF(OR('planning '!$H517="",'planning '!$J517=""),0,IF('planning '!$J517&gt;'planning '!$H517,MEDIAN('planning '!$J517,H$2,H$1)-MEDIAN('planning '!$H517,H$2,H$1),+('planning '!$J517&lt;'planning '!$H517)*(H$2-H$1)+MEDIAN('planning '!$J517,H$1,H$2)-MEDIAN('planning '!$H517,H$1,H$2)))</f>
        <v>0</v>
      </c>
      <c r="I516" s="237"/>
      <c r="J516" s="234">
        <f>IF(OR('planning '!$H517="",'planning '!$J517=""),0,IF('planning '!$J517&gt;'planning '!$H517,MEDIAN('planning '!$J517,J$2,J$1)-MEDIAN('planning '!$H517,J$2,J$1),+('planning '!$J517&lt;'planning '!$H517)*(J$2-J$1)+MEDIAN('planning '!$J517,J$1,J$2)-MEDIAN('planning '!$H517,J$1,J$2)))</f>
        <v>0</v>
      </c>
      <c r="K516" s="237"/>
      <c r="M516" s="231" t="s">
        <v>111</v>
      </c>
      <c r="N516" s="261">
        <f t="shared" ref="N516:Q517" ca="1" si="102">SUMIF(OFFSET($C514:$C521,0,MATCH(N$10,$B$5:$H$5,0)-1,7,1),$K517,OFFSET($B514:$B520,0,MATCH(N$10,$B$5:$H$5,0)-1,7,1))</f>
        <v>0</v>
      </c>
      <c r="O516" s="261">
        <f t="shared" ca="1" si="102"/>
        <v>0</v>
      </c>
      <c r="P516" s="261">
        <f t="shared" ca="1" si="102"/>
        <v>0</v>
      </c>
      <c r="Q516" s="261">
        <f t="shared" ca="1" si="102"/>
        <v>0</v>
      </c>
    </row>
    <row r="517" spans="2:17" x14ac:dyDescent="0.25">
      <c r="B517" s="231" t="str">
        <f>'planning '!F518</f>
        <v>congé 1 jour</v>
      </c>
      <c r="C517" s="232">
        <f t="shared" ref="C517:C520" si="103">C516+1</f>
        <v>44190</v>
      </c>
      <c r="D517" s="233"/>
      <c r="E517" s="240"/>
      <c r="F517" s="235">
        <f>IF(OR('planning '!$H518="",'planning '!$J518=""),0,IF('planning '!$J518&gt;'planning '!$H518,MEDIAN('planning '!$J518,F$2,F$1)-MEDIAN('planning '!$H518,F$2,F$1),+('planning '!$J518&lt;'planning '!$H518)*(F$2-F$1)+MEDIAN('planning '!$J518,F$1,F$2)-MEDIAN('planning '!$H518,F$1,F$2)))-'planning '!AA518</f>
        <v>0</v>
      </c>
      <c r="G517" s="237"/>
      <c r="H517" s="235">
        <f>IF(OR('planning '!$H518="",'planning '!$J518=""),0,IF('planning '!$J518&gt;'planning '!$H518,MEDIAN('planning '!$J518,H$2,H$1)-MEDIAN('planning '!$H518,H$2,H$1),+('planning '!$J518&lt;'planning '!$H518)*(H$2-H$1)+MEDIAN('planning '!$J518,H$1,H$2)-MEDIAN('planning '!$H518,H$1,H$2)))</f>
        <v>0</v>
      </c>
      <c r="I517" s="237"/>
      <c r="J517" s="234">
        <f>IF(OR('planning '!$H518="",'planning '!$J518=""),0,IF('planning '!$J518&gt;'planning '!$H518,MEDIAN('planning '!$J518,J$2,J$1)-MEDIAN('planning '!$H518,J$2,J$1),+('planning '!$J518&lt;'planning '!$H518)*(J$2-J$1)+MEDIAN('planning '!$J518,J$1,J$2)-MEDIAN('planning '!$H518,J$1,J$2)))</f>
        <v>0</v>
      </c>
      <c r="K517" s="237"/>
      <c r="M517" s="231" t="s">
        <v>21</v>
      </c>
      <c r="N517" s="261">
        <f t="shared" ca="1" si="102"/>
        <v>0</v>
      </c>
      <c r="O517" s="261">
        <f t="shared" ca="1" si="102"/>
        <v>0</v>
      </c>
      <c r="P517" s="261">
        <f t="shared" ca="1" si="102"/>
        <v>0</v>
      </c>
      <c r="Q517" s="261">
        <f t="shared" ca="1" si="102"/>
        <v>0</v>
      </c>
    </row>
    <row r="518" spans="2:17" x14ac:dyDescent="0.25">
      <c r="B518" s="231" t="str">
        <f>'planning '!F519</f>
        <v>congé 1 jour</v>
      </c>
      <c r="C518" s="232">
        <f t="shared" si="103"/>
        <v>44191</v>
      </c>
      <c r="D518" s="233"/>
      <c r="E518" s="240"/>
      <c r="F518" s="235">
        <f>IF(OR('planning '!$H519="",'planning '!$J519=""),0,IF('planning '!$J519&gt;'planning '!$H519,MEDIAN('planning '!$J519,F$2,F$1)-MEDIAN('planning '!$H519,F$2,F$1),+('planning '!$J519&lt;'planning '!$H519)*(F$2-F$1)+MEDIAN('planning '!$J519,F$1,F$2)-MEDIAN('planning '!$H519,F$1,F$2)))-'planning '!AA519</f>
        <v>0</v>
      </c>
      <c r="G518" s="237"/>
      <c r="H518" s="235">
        <f>IF(OR('planning '!$H519="",'planning '!$J519=""),0,IF('planning '!$J519&gt;'planning '!$H519,MEDIAN('planning '!$J519,H$2,H$1)-MEDIAN('planning '!$H519,H$2,H$1),+('planning '!$J519&lt;'planning '!$H519)*(H$2-H$1)+MEDIAN('planning '!$J519,H$1,H$2)-MEDIAN('planning '!$H519,H$1,H$2)))</f>
        <v>0</v>
      </c>
      <c r="I518" s="237"/>
      <c r="J518" s="234">
        <f>IF(OR('planning '!$H519="",'planning '!$J519=""),0,IF('planning '!$J519&gt;'planning '!$H519,MEDIAN('planning '!$J519,J$2,J$1)-MEDIAN('planning '!$H519,J$2,J$1),+('planning '!$J519&lt;'planning '!$H519)*(J$2-J$1)+MEDIAN('planning '!$J519,J$1,J$2)-MEDIAN('planning '!$H519,J$1,J$2)))</f>
        <v>0</v>
      </c>
      <c r="K518" s="237"/>
      <c r="M518" s="17"/>
      <c r="N518" s="17"/>
      <c r="O518" s="17"/>
      <c r="P518" s="17"/>
      <c r="Q518" s="17"/>
    </row>
    <row r="519" spans="2:17" x14ac:dyDescent="0.25">
      <c r="B519" s="231" t="str">
        <f>'planning '!F520</f>
        <v>off</v>
      </c>
      <c r="C519" s="232">
        <f t="shared" si="103"/>
        <v>44192</v>
      </c>
      <c r="D519" s="233">
        <f>IF(OR('planning '!$H520="",'planning '!$J520=""),0,IF('planning '!$J520&gt;'planning '!$H520,MEDIAN('planning '!$J520,D$2,D$1)-MEDIAN('planning '!$H520,D$2,D$1),+('planning '!$J520&lt;'planning '!$H520)*(D$2-D$1)+MEDIAN('planning '!$J520,D$1,D$2)-MEDIAN('planning '!$H520,D$1,D$2)))-'planning '!V520</f>
        <v>0</v>
      </c>
      <c r="E519" s="240"/>
      <c r="F519" s="235">
        <f>IF(OR('planning '!$H520="",'planning '!$J520=""),0,IF('planning '!$J520&gt;'planning '!$H520,MEDIAN('planning '!$J520,F$2,F$1)-MEDIAN('planning '!$H520,F$2,F$1),+('planning '!$J520&lt;'planning '!$H520)*(F$2-F$1)+MEDIAN('planning '!$J520,F$1,F$2)-MEDIAN('planning '!$H520,F$1,F$2)))-'planning '!AA520</f>
        <v>0</v>
      </c>
      <c r="G519" s="237"/>
      <c r="H519" s="235">
        <f>IF(OR('planning '!$H520="",'planning '!$J520=""),0,IF('planning '!$J520&gt;'planning '!$H520,MEDIAN('planning '!$J520,H$2,H$1)-MEDIAN('planning '!$H520,H$2,H$1),+('planning '!$J520&lt;'planning '!$H520)*(H$2-H$1)+MEDIAN('planning '!$J520,H$1,H$2)-MEDIAN('planning '!$H520,H$1,H$2)))</f>
        <v>0</v>
      </c>
      <c r="I519" s="237"/>
      <c r="J519" s="234">
        <f>IF(OR('planning '!$H520="",'planning '!$J520=""),0,IF('planning '!$J520&gt;'planning '!$H520,MEDIAN('planning '!$J520,J$2,J$1)-MEDIAN('planning '!$H520,J$2,J$1),+('planning '!$J520&lt;'planning '!$H520)*(J$2-J$1)+MEDIAN('planning '!$J520,J$1,J$2)-MEDIAN('planning '!$H520,J$1,J$2)))</f>
        <v>0</v>
      </c>
      <c r="K519" s="237"/>
      <c r="M519" s="17"/>
      <c r="N519" s="17"/>
      <c r="O519" s="17"/>
      <c r="P519" s="17"/>
      <c r="Q519" s="17"/>
    </row>
    <row r="520" spans="2:17" ht="15.75" thickBot="1" x14ac:dyDescent="0.3">
      <c r="B520" s="231" t="str">
        <f>'planning '!F521</f>
        <v>off</v>
      </c>
      <c r="C520" s="232">
        <f t="shared" si="103"/>
        <v>44193</v>
      </c>
      <c r="D520" s="233">
        <f>IF(OR('planning '!$H521="",'planning '!$J521=""),0,IF('planning '!$J521&gt;'planning '!$H521,MEDIAN('planning '!$J521,D$2,D$1)-MEDIAN('planning '!$H521,D$2,D$1),+('planning '!$J521&lt;'planning '!$H521)*(D$2-D$1)+MEDIAN('planning '!$J521,D$1,D$2)-MEDIAN('planning '!$H521,D$1,D$2)))-'planning '!V521</f>
        <v>0</v>
      </c>
      <c r="E520" s="241"/>
      <c r="F520" s="235">
        <f>IF(OR('planning '!$H521="",'planning '!$J521=""),0,IF('planning '!$J521&gt;'planning '!$H521,MEDIAN('planning '!$J521,F$2,F$1)-MEDIAN('planning '!$H521,F$2,F$1),+('planning '!$J521&lt;'planning '!$H521)*(F$2-F$1)+MEDIAN('planning '!$J521,F$1,F$2)-MEDIAN('planning '!$H521,F$1,F$2)))-'planning '!AA521</f>
        <v>0</v>
      </c>
      <c r="G520" s="238"/>
      <c r="H520" s="235">
        <f>IF(OR('planning '!$H521="",'planning '!$J521=""),0,IF('planning '!$J521&gt;'planning '!$H521,MEDIAN('planning '!$J521,H$2,H$1)-MEDIAN('planning '!$H521,H$2,H$1),+('planning '!$J521&lt;'planning '!$H521)*(H$2-H$1)+MEDIAN('planning '!$J521,H$1,H$2)-MEDIAN('planning '!$H521,H$1,H$2)))</f>
        <v>0</v>
      </c>
      <c r="I520" s="238"/>
      <c r="J520" s="234">
        <f>IF(OR('planning '!$H521="",'planning '!$J521=""),0,IF('planning '!$J521&gt;'planning '!$H521,MEDIAN('planning '!$J521,J$2,J$1)-MEDIAN('planning '!$H521,J$2,J$1),+('planning '!$J521&lt;'planning '!$H521)*(J$2-J$1)+MEDIAN('planning '!$J521,J$1,J$2)-MEDIAN('planning '!$H521,J$1,J$2)))</f>
        <v>0</v>
      </c>
      <c r="K520" s="238"/>
      <c r="M520" s="17"/>
      <c r="N520" s="17"/>
      <c r="O520" s="17"/>
      <c r="P520" s="17"/>
      <c r="Q520" s="17"/>
    </row>
    <row r="521" spans="2:17" x14ac:dyDescent="0.25">
      <c r="M521" s="17"/>
      <c r="N521" s="17"/>
      <c r="O521" s="17"/>
      <c r="P521" s="17"/>
      <c r="Q521" s="17"/>
    </row>
    <row r="522" spans="2:17" x14ac:dyDescent="0.25">
      <c r="M522" s="17"/>
      <c r="N522" s="17"/>
      <c r="O522" s="17"/>
      <c r="P522" s="17"/>
      <c r="Q522" s="17"/>
    </row>
    <row r="523" spans="2:17" ht="15.75" thickBot="1" x14ac:dyDescent="0.3">
      <c r="M523" s="17"/>
      <c r="N523" s="17"/>
      <c r="O523" s="17"/>
      <c r="P523" s="17"/>
      <c r="Q523" s="17"/>
    </row>
    <row r="524" spans="2:17" x14ac:dyDescent="0.25">
      <c r="B524" s="231" t="str">
        <f>'planning '!F525</f>
        <v>congé 1 jour</v>
      </c>
      <c r="C524" s="232">
        <f>'planning '!E525</f>
        <v>44194</v>
      </c>
      <c r="D524" s="233"/>
      <c r="E524" s="239"/>
      <c r="F524" s="235">
        <f>IF(OR('planning '!$H525="",'planning '!$J525=""),0,IF('planning '!$J525&gt;'planning '!$H525,MEDIAN('planning '!$J525,F$2,F$1)-MEDIAN('planning '!$H525,F$2,F$1),+('planning '!$J525&lt;'planning '!$H525)*(F$2-F$1)+MEDIAN('planning '!$J525,F$1,F$2)-MEDIAN('planning '!$H525,F$1,F$2)))-'planning '!AA525</f>
        <v>0</v>
      </c>
      <c r="G524" s="236"/>
      <c r="H524" s="235">
        <f>IF(OR('planning '!$H525="",'planning '!$J525=""),0,IF('planning '!$J525&gt;'planning '!$H525,MEDIAN('planning '!$J525,H$2,H$1)-MEDIAN('planning '!$H525,H$2,H$1),+('planning '!$J525&lt;'planning '!$H525)*(H$2-H$1)+MEDIAN('planning '!$J525,H$1,H$2)-MEDIAN('planning '!$H525,H$1,H$2)))</f>
        <v>0</v>
      </c>
      <c r="I524" s="236"/>
      <c r="J524" s="234">
        <f>IF(OR('planning '!$H525="",'planning '!$J525=""),0,IF('planning '!$J525&gt;'planning '!$H525,MEDIAN('planning '!$J525,J$2,J$1)-MEDIAN('planning '!$H525,J$2,J$1),+('planning '!$J525&lt;'planning '!$H525)*(J$2-J$1)+MEDIAN('planning '!$J525,J$1,J$2)-MEDIAN('planning '!$H525,J$1,J$2)))</f>
        <v>0</v>
      </c>
      <c r="K524" s="236"/>
      <c r="M524" s="17"/>
      <c r="N524" s="264"/>
      <c r="O524" s="265" t="s">
        <v>114</v>
      </c>
      <c r="P524" s="266"/>
      <c r="Q524" s="17"/>
    </row>
    <row r="525" spans="2:17" x14ac:dyDescent="0.25">
      <c r="B525" s="231" t="str">
        <f>'planning '!F526</f>
        <v>congé 1 jour</v>
      </c>
      <c r="C525" s="232">
        <f>C524+1</f>
        <v>44195</v>
      </c>
      <c r="D525" s="233"/>
      <c r="E525" s="240"/>
      <c r="F525" s="235">
        <f>IF(OR('planning '!$H526="",'planning '!$J526=""),0,IF('planning '!$J526&gt;'planning '!$H526,MEDIAN('planning '!$J526,F$2,F$1)-MEDIAN('planning '!$H526,F$2,F$1),+('planning '!$J526&lt;'planning '!$H526)*(F$2-F$1)+MEDIAN('planning '!$J526,F$1,F$2)-MEDIAN('planning '!$H526,F$1,F$2)))-'planning '!AA526</f>
        <v>0</v>
      </c>
      <c r="G525" s="237"/>
      <c r="H525" s="235">
        <f>IF(OR('planning '!$H526="",'planning '!$J526=""),0,IF('planning '!$J526&gt;'planning '!$H526,MEDIAN('planning '!$J526,H$2,H$1)-MEDIAN('planning '!$H526,H$2,H$1),+('planning '!$J526&lt;'planning '!$H526)*(H$2-H$1)+MEDIAN('planning '!$J526,H$1,H$2)-MEDIAN('planning '!$H526,H$1,H$2)))</f>
        <v>0</v>
      </c>
      <c r="I525" s="237"/>
      <c r="J525" s="234">
        <f>IF(OR('planning '!$H526="",'planning '!$J526=""),0,IF('planning '!$J526&gt;'planning '!$H526,MEDIAN('planning '!$J526,J$2,J$1)-MEDIAN('planning '!$H526,J$2,J$1),+('planning '!$J526&lt;'planning '!$H526)*(J$2-J$1)+MEDIAN('planning '!$J526,J$1,J$2)-MEDIAN('planning '!$H526,J$1,J$2)))</f>
        <v>0</v>
      </c>
      <c r="K525" s="237"/>
      <c r="M525" s="17"/>
      <c r="N525" s="263" t="s">
        <v>117</v>
      </c>
      <c r="O525" s="263" t="s">
        <v>115</v>
      </c>
      <c r="P525" s="263" t="s">
        <v>116</v>
      </c>
      <c r="Q525" s="243" t="s">
        <v>118</v>
      </c>
    </row>
    <row r="526" spans="2:17" x14ac:dyDescent="0.25">
      <c r="M526" s="231" t="s">
        <v>111</v>
      </c>
      <c r="N526" s="261">
        <f t="shared" ref="N526:Q527" ca="1" si="104">SUMIF(OFFSET($C524:$C531,0,MATCH(N$10,$B$5:$H$5,0)-1,7,1),$K527,OFFSET($B524:$B530,0,MATCH(N$10,$B$5:$H$5,0)-1,7,1))</f>
        <v>0</v>
      </c>
      <c r="O526" s="261">
        <f t="shared" ca="1" si="104"/>
        <v>0</v>
      </c>
      <c r="P526" s="261">
        <f t="shared" ca="1" si="104"/>
        <v>0</v>
      </c>
      <c r="Q526" s="261">
        <f t="shared" ca="1" si="104"/>
        <v>0</v>
      </c>
    </row>
    <row r="527" spans="2:17" x14ac:dyDescent="0.25">
      <c r="M527" s="231" t="s">
        <v>21</v>
      </c>
      <c r="N527" s="261">
        <f t="shared" ca="1" si="104"/>
        <v>0</v>
      </c>
      <c r="O527" s="261">
        <f t="shared" ca="1" si="104"/>
        <v>0</v>
      </c>
      <c r="P527" s="261">
        <f t="shared" ca="1" si="104"/>
        <v>0</v>
      </c>
      <c r="Q527" s="261">
        <f t="shared" ca="1" si="104"/>
        <v>0</v>
      </c>
    </row>
    <row r="531" spans="3:3" x14ac:dyDescent="0.25">
      <c r="C531" s="223"/>
    </row>
    <row r="532" spans="3:3" x14ac:dyDescent="0.25">
      <c r="C532" s="223"/>
    </row>
    <row r="533" spans="3:3" x14ac:dyDescent="0.25">
      <c r="C533" s="223"/>
    </row>
    <row r="534" spans="3:3" x14ac:dyDescent="0.25">
      <c r="C534" s="22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16AA3C-9488-4745-98D5-FCACE042F1DE}">
          <x14:formula1>
            <xm:f>ref!$S$3:$S$5</xm:f>
          </x14:formula1>
          <xm:sqref>E4:E10 I4:I10 G4:G10 E14:E20 I14:I20 G14:G20 E24:E30 I24:I30 G24:G30 E34:E40 I34:I40 G34:G40 E44:E50 I44:I50 G44:G50 E54:E60 I54:I60 G54:G60 E64:E70 I64:I70 G64:G70 E74:E80 I74:I80 G74:G80 E84:E90 I84:I90 G84:G90 E94:E100 I94:I100 G94:G100 E104:E110 I104:I110 G104:G110 E114:E120 I114:I120 G114:G120 E124:E130 I124:I130 G124:G130 E134:E140 I134:I140 G134:G140 E144:E150 I144:I150 G144:G150 E154:E160 I154:I160 G154:G160 E164:E170 I164:I170 G164:G170 E174:E180 I174:I180 G174:G180 E184:E190 I184:I190 G184:G190 E194:E200 I194:I200 G194:G200 E204:E210 I204:I210 G204:G210 E214:E220 I214:I220 G214:G220 E224:E230 I224:I230 G224:G230 E234:E240 I234:I240 G234:G240 E244:E250 I244:I250 G244:G250 E254:E260 I254:I260 G254:G260 E264:E270 I264:I270 G264:G270 E274:E280 I274:I280 G274:G280 E284:E290 I284:I290 G284:G290 E294:E300 I294:I300 G294:G300 E304:E310 I304:I310 G304:G310 E314:E320 I314:I320 G314:G320 E324:E330 I324:I330 G324:G330 E334:E340 I334:I340 G334:G340 E344:E350 I344:I350 G344:G350 E354:E360 I354:I360 G354:G360 E364:E370 I364:I370 G364:G370 E374:E380 I374:I380 G374:G380 E384:E390 I384:I390 G384:G390 E394:E400 I394:I400 G394:G400 E404:E410 I404:I410 G404:G410 E414:E420 I414:I420 G414:G420 E424:E430 I424:I430 G424:G430 E434:E440 I434:I440 G434:G440 E444:E450 I444:I450 G444:G450 E454:E460 I454:I460 G454:G460 E464:E470 I464:I470 G464:G470 E474:E480 I474:I480 G474:G480 E484:E490 I484:I490 G484:G490 E494:E500 I494:I500 G494:G500 E504:E510 I504:I510 G504:G510 E514:E520 I514:I520 G514:G520 E524:E525 I524:I525 G524:G525 K4:K10 K14:K20 K24:K30 K34:K40 K44:K50 K54:K60 K64:K70 K74:K80 K84:K90 K94:K100 K104:K110 K114:K120 K124:K130 K134:K140 K144:K150 K154:K160 K164:K170 K174:K180 K184:K190 K194:K200 K204:K210 K214:K220 K224:K230 K234:K240 K244:K250 K254:K260 K264:K270 K274:K280 K284:K290 K294:K300 K304:K310 K314:K320 K324:K330 K334:K340 K344:K350 K354:K360 K364:K370 K374:K380 K384:K390 K394:K400 K404:K410 K414:K420 K424:K430 K434:K440 K444:K450 K454:K460 K464:K470 K474:K480 K484:K490 K494:K500 K504:K510 K514:K520 K524:K525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40"/>
  <sheetViews>
    <sheetView topLeftCell="B1" zoomScale="75" zoomScaleNormal="75" workbookViewId="0">
      <selection activeCell="M21" sqref="M21"/>
    </sheetView>
  </sheetViews>
  <sheetFormatPr baseColWidth="10" defaultColWidth="11.42578125" defaultRowHeight="15" x14ac:dyDescent="0.2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3.7109375" style="3" customWidth="1"/>
    <col min="10" max="10" width="14.140625" style="3" customWidth="1"/>
    <col min="11" max="11" width="16.7109375" style="3" customWidth="1"/>
    <col min="12" max="12" width="13.28515625" style="3" customWidth="1"/>
    <col min="13" max="13" width="28.140625" style="3" customWidth="1"/>
    <col min="14" max="15" width="11.42578125" style="3"/>
    <col min="16" max="16" width="13.5703125" style="3" customWidth="1"/>
    <col min="17" max="17" width="14.5703125" style="3" customWidth="1"/>
    <col min="18" max="18" width="11.42578125" style="3"/>
    <col min="19" max="19" width="15.140625" style="3" customWidth="1"/>
    <col min="20" max="16384" width="11.42578125" style="3"/>
  </cols>
  <sheetData>
    <row r="2" spans="3:21" x14ac:dyDescent="0.25">
      <c r="C2" s="4"/>
      <c r="D2" s="36" t="s">
        <v>57</v>
      </c>
      <c r="E2" s="213">
        <v>2024</v>
      </c>
    </row>
    <row r="3" spans="3:21" x14ac:dyDescent="0.25">
      <c r="C3" s="5"/>
      <c r="D3" s="37" t="s">
        <v>18</v>
      </c>
      <c r="E3" s="214">
        <v>66.958333333333329</v>
      </c>
      <c r="Q3" s="221" t="s">
        <v>109</v>
      </c>
      <c r="R3" s="34"/>
      <c r="S3" s="225"/>
    </row>
    <row r="4" spans="3:21" x14ac:dyDescent="0.25">
      <c r="C4" s="5"/>
      <c r="D4" s="38" t="s">
        <v>6</v>
      </c>
      <c r="E4" s="215">
        <v>0.5</v>
      </c>
      <c r="I4" s="104" t="s">
        <v>112</v>
      </c>
      <c r="Q4" s="222"/>
      <c r="S4" s="226" t="s">
        <v>21</v>
      </c>
    </row>
    <row r="5" spans="3:21" x14ac:dyDescent="0.25">
      <c r="C5" s="5"/>
      <c r="D5" s="37" t="s">
        <v>12</v>
      </c>
      <c r="E5" s="216">
        <v>0.29166666666666669</v>
      </c>
      <c r="I5" s="224" t="s">
        <v>21</v>
      </c>
      <c r="J5" s="224" t="s">
        <v>111</v>
      </c>
      <c r="L5" s="15"/>
      <c r="M5" s="48"/>
      <c r="Q5" s="221" t="s">
        <v>98</v>
      </c>
      <c r="S5" s="227" t="s">
        <v>111</v>
      </c>
    </row>
    <row r="6" spans="3:21" x14ac:dyDescent="0.25">
      <c r="C6" s="5"/>
      <c r="D6" s="39" t="s">
        <v>59</v>
      </c>
      <c r="E6" s="213">
        <v>5</v>
      </c>
      <c r="L6" s="34"/>
      <c r="M6" s="15"/>
      <c r="N6" s="15"/>
      <c r="O6" s="61"/>
    </row>
    <row r="7" spans="3:21" x14ac:dyDescent="0.25">
      <c r="C7" s="5"/>
      <c r="D7" s="39" t="s">
        <v>46</v>
      </c>
      <c r="E7" s="217">
        <v>6</v>
      </c>
      <c r="M7" s="15"/>
      <c r="N7" s="61"/>
      <c r="O7" s="61"/>
    </row>
    <row r="8" spans="3:21" x14ac:dyDescent="0.25">
      <c r="C8" s="5"/>
      <c r="D8" s="37" t="s">
        <v>7</v>
      </c>
      <c r="E8" s="215">
        <v>0.41666666666666669</v>
      </c>
      <c r="L8" s="66"/>
      <c r="M8" s="15"/>
      <c r="N8" s="61"/>
      <c r="O8" s="61"/>
    </row>
    <row r="9" spans="3:21" x14ac:dyDescent="0.25">
      <c r="C9" s="5"/>
      <c r="D9" s="37" t="s">
        <v>9</v>
      </c>
      <c r="E9" s="215">
        <v>0.45833333333333331</v>
      </c>
      <c r="G9" s="61"/>
      <c r="H9" s="15"/>
      <c r="I9" s="62"/>
      <c r="J9" s="43"/>
      <c r="K9" s="61"/>
      <c r="L9" s="66"/>
      <c r="M9" s="15"/>
      <c r="N9" s="1"/>
      <c r="O9" s="61"/>
      <c r="R9" s="34"/>
      <c r="T9" s="15"/>
      <c r="U9" s="15"/>
    </row>
    <row r="10" spans="3:21" x14ac:dyDescent="0.25">
      <c r="C10" s="5"/>
      <c r="D10" s="37" t="s">
        <v>11</v>
      </c>
      <c r="E10" s="214">
        <v>1.4583333333333333</v>
      </c>
      <c r="G10" s="61"/>
      <c r="H10" s="15"/>
      <c r="I10" s="63"/>
      <c r="J10" s="61"/>
      <c r="K10" s="15"/>
      <c r="L10" s="66"/>
      <c r="M10" s="69"/>
      <c r="N10" s="61"/>
      <c r="O10" s="63"/>
    </row>
    <row r="11" spans="3:21" x14ac:dyDescent="0.25">
      <c r="C11" s="5"/>
      <c r="D11" s="37" t="s">
        <v>3</v>
      </c>
      <c r="E11" s="214">
        <v>2</v>
      </c>
      <c r="G11" s="61"/>
      <c r="H11" s="15"/>
      <c r="I11" s="62"/>
      <c r="J11" s="43"/>
      <c r="K11" s="43"/>
      <c r="L11" s="66"/>
      <c r="M11" s="15"/>
      <c r="N11" s="61"/>
      <c r="O11" s="63"/>
    </row>
    <row r="12" spans="3:21" x14ac:dyDescent="0.25">
      <c r="C12" s="5"/>
      <c r="D12" s="37" t="s">
        <v>4</v>
      </c>
      <c r="E12" s="214">
        <v>1.4583333333333333</v>
      </c>
      <c r="G12" s="61"/>
      <c r="H12" s="61"/>
      <c r="I12" s="63"/>
      <c r="J12" s="61"/>
      <c r="K12" s="61"/>
      <c r="L12" s="66"/>
      <c r="M12" s="15"/>
      <c r="N12" s="61"/>
    </row>
    <row r="13" spans="3:21" x14ac:dyDescent="0.25">
      <c r="C13" s="5"/>
      <c r="D13" s="37" t="s">
        <v>5</v>
      </c>
      <c r="E13" s="214">
        <v>1.0416666666666667</v>
      </c>
      <c r="G13" s="61"/>
      <c r="H13" s="15"/>
      <c r="I13" s="63"/>
      <c r="J13" s="61"/>
      <c r="K13" s="61"/>
      <c r="L13" s="66"/>
      <c r="M13" s="15"/>
      <c r="N13" s="43"/>
      <c r="P13" s="63"/>
    </row>
    <row r="14" spans="3:21" x14ac:dyDescent="0.25">
      <c r="C14" s="5"/>
      <c r="D14" s="37" t="s">
        <v>13</v>
      </c>
      <c r="E14" s="216">
        <v>7.708333333333333</v>
      </c>
      <c r="G14" s="61"/>
      <c r="H14" s="15"/>
      <c r="I14" s="62"/>
      <c r="J14" s="43"/>
      <c r="K14" s="66"/>
      <c r="L14" s="61"/>
      <c r="M14" s="15"/>
      <c r="N14" s="43"/>
      <c r="O14" s="66"/>
      <c r="P14" s="43"/>
      <c r="Q14" s="43"/>
    </row>
    <row r="15" spans="3:21" x14ac:dyDescent="0.25">
      <c r="C15" s="5"/>
      <c r="D15" s="39" t="s">
        <v>60</v>
      </c>
      <c r="E15" s="214">
        <v>3.4166666666666665</v>
      </c>
      <c r="G15" s="61"/>
      <c r="H15" s="61"/>
      <c r="I15" s="63"/>
      <c r="J15" s="61"/>
      <c r="K15" s="66"/>
      <c r="L15" s="43"/>
      <c r="M15" s="15"/>
      <c r="N15" s="61"/>
      <c r="O15" s="66"/>
      <c r="P15" s="43"/>
      <c r="Q15" s="43"/>
    </row>
    <row r="16" spans="3:21" x14ac:dyDescent="0.25">
      <c r="C16" s="5"/>
      <c r="D16" s="40" t="s">
        <v>62</v>
      </c>
      <c r="E16" s="218">
        <v>5.2083333333333336E-2</v>
      </c>
      <c r="G16" s="61"/>
      <c r="H16" s="15"/>
      <c r="I16" s="63"/>
      <c r="J16" s="61"/>
      <c r="K16" s="66"/>
      <c r="L16" s="66"/>
      <c r="O16" s="63"/>
    </row>
    <row r="17" spans="3:20" x14ac:dyDescent="0.25">
      <c r="C17" s="5"/>
      <c r="D17" s="37" t="s">
        <v>15</v>
      </c>
      <c r="E17" s="213">
        <v>22</v>
      </c>
      <c r="G17" s="61"/>
      <c r="H17" s="15"/>
      <c r="I17" s="62"/>
      <c r="J17" s="43"/>
      <c r="K17" s="61"/>
      <c r="L17" s="66"/>
      <c r="O17" s="63"/>
    </row>
    <row r="18" spans="3:20" x14ac:dyDescent="0.25">
      <c r="C18" s="5"/>
      <c r="D18" s="37" t="s">
        <v>8</v>
      </c>
      <c r="E18" s="214">
        <v>0.10416666666666667</v>
      </c>
      <c r="G18" s="61"/>
      <c r="H18" s="61"/>
      <c r="I18" s="63"/>
      <c r="J18" s="61"/>
      <c r="K18" s="61"/>
      <c r="L18" s="66"/>
      <c r="O18" s="62"/>
    </row>
    <row r="19" spans="3:20" x14ac:dyDescent="0.25">
      <c r="C19" s="5"/>
      <c r="D19" s="37" t="s">
        <v>10</v>
      </c>
      <c r="E19" s="214">
        <v>8.3333333333333329E-2</v>
      </c>
      <c r="G19" s="61"/>
      <c r="H19" s="15"/>
      <c r="I19" s="63"/>
      <c r="J19" s="61"/>
      <c r="L19" s="66"/>
      <c r="M19" s="15"/>
      <c r="N19" s="43"/>
      <c r="O19" s="62"/>
    </row>
    <row r="20" spans="3:20" x14ac:dyDescent="0.25">
      <c r="C20" s="5"/>
      <c r="D20" s="39" t="s">
        <v>61</v>
      </c>
      <c r="E20" s="215">
        <v>5.2083333333333336E-2</v>
      </c>
      <c r="G20" s="61"/>
      <c r="H20" s="15"/>
      <c r="I20" s="62"/>
      <c r="J20" s="61"/>
      <c r="L20" s="61"/>
      <c r="M20" s="15"/>
      <c r="N20" s="43"/>
    </row>
    <row r="21" spans="3:20" x14ac:dyDescent="0.25">
      <c r="C21" s="5"/>
      <c r="D21" s="37" t="s">
        <v>14</v>
      </c>
      <c r="E21" s="214">
        <v>6.9444444444444434E-2</v>
      </c>
      <c r="G21" s="61"/>
      <c r="H21" s="61"/>
      <c r="I21" s="63"/>
      <c r="J21" s="61"/>
      <c r="K21" s="15"/>
      <c r="L21" s="61"/>
      <c r="O21" s="34"/>
    </row>
    <row r="22" spans="3:20" x14ac:dyDescent="0.25">
      <c r="C22" s="6"/>
      <c r="D22" s="39" t="s">
        <v>19</v>
      </c>
      <c r="E22" s="219">
        <v>0</v>
      </c>
      <c r="G22" s="61"/>
      <c r="H22" s="15"/>
      <c r="I22" s="62"/>
      <c r="J22" s="43"/>
      <c r="K22" s="43"/>
      <c r="L22" s="43"/>
      <c r="P22" s="34"/>
    </row>
    <row r="23" spans="3:20" x14ac:dyDescent="0.25">
      <c r="C23" s="5"/>
      <c r="D23" s="39" t="s">
        <v>20</v>
      </c>
      <c r="E23" s="219">
        <v>0</v>
      </c>
      <c r="G23" s="61"/>
      <c r="H23" s="61"/>
      <c r="I23" s="63"/>
      <c r="J23" s="61"/>
      <c r="K23" s="61"/>
      <c r="L23" s="61"/>
      <c r="M23" s="15"/>
      <c r="N23" s="61"/>
      <c r="S23" s="48"/>
    </row>
    <row r="24" spans="3:20" x14ac:dyDescent="0.25">
      <c r="C24" s="5"/>
      <c r="D24" s="39" t="s">
        <v>21</v>
      </c>
      <c r="E24" s="219">
        <f>E5</f>
        <v>0.29166666666666669</v>
      </c>
      <c r="G24" s="61"/>
      <c r="H24" s="61"/>
      <c r="I24" s="63"/>
      <c r="J24" s="61"/>
      <c r="K24" s="61"/>
      <c r="L24" s="43"/>
      <c r="M24" s="67"/>
      <c r="N24" s="61"/>
      <c r="P24" s="48"/>
    </row>
    <row r="25" spans="3:20" x14ac:dyDescent="0.25">
      <c r="C25" s="5"/>
      <c r="D25" s="39" t="s">
        <v>22</v>
      </c>
      <c r="E25" s="219">
        <f>E5</f>
        <v>0.29166666666666669</v>
      </c>
      <c r="G25" s="61"/>
      <c r="H25" s="61"/>
      <c r="I25" s="63"/>
      <c r="J25" s="61"/>
      <c r="K25" s="61"/>
      <c r="L25" s="67"/>
      <c r="M25" s="15"/>
      <c r="N25" s="61"/>
      <c r="P25" s="48"/>
    </row>
    <row r="26" spans="3:20" x14ac:dyDescent="0.25">
      <c r="C26" s="5"/>
      <c r="D26" s="39" t="s">
        <v>23</v>
      </c>
      <c r="E26" s="219">
        <v>0.16388888888888889</v>
      </c>
      <c r="G26" s="61"/>
      <c r="H26" s="15"/>
      <c r="I26" s="62"/>
      <c r="J26" s="43"/>
      <c r="K26" s="61"/>
      <c r="L26" s="43"/>
      <c r="P26" s="48"/>
    </row>
    <row r="27" spans="3:20" x14ac:dyDescent="0.25">
      <c r="C27" s="5"/>
      <c r="D27" s="39" t="s">
        <v>63</v>
      </c>
      <c r="E27" s="219">
        <v>0.16666666666666666</v>
      </c>
      <c r="G27" s="61"/>
      <c r="H27" s="15"/>
      <c r="I27" s="62"/>
      <c r="J27" s="43"/>
      <c r="K27" s="61"/>
      <c r="L27" s="61"/>
      <c r="M27" s="15"/>
      <c r="N27" s="68"/>
    </row>
    <row r="28" spans="3:20" x14ac:dyDescent="0.25">
      <c r="C28" s="5"/>
      <c r="D28" s="39" t="s">
        <v>24</v>
      </c>
      <c r="E28" s="219">
        <f>E5</f>
        <v>0.29166666666666669</v>
      </c>
      <c r="G28" s="61"/>
      <c r="H28" s="15"/>
      <c r="I28" s="62"/>
      <c r="J28" s="61"/>
      <c r="K28" s="61"/>
      <c r="L28" s="61"/>
      <c r="M28" s="15"/>
      <c r="N28" s="68"/>
    </row>
    <row r="29" spans="3:20" x14ac:dyDescent="0.25">
      <c r="C29" s="5"/>
      <c r="D29" s="39" t="s">
        <v>25</v>
      </c>
      <c r="E29" s="219">
        <f>E5</f>
        <v>0.29166666666666669</v>
      </c>
      <c r="G29" s="61"/>
      <c r="H29" s="15"/>
      <c r="I29" s="65"/>
      <c r="J29" s="16"/>
      <c r="K29" s="61"/>
      <c r="L29" s="43"/>
      <c r="M29" s="15"/>
      <c r="N29" s="68"/>
      <c r="P29" s="34"/>
      <c r="Q29" s="18"/>
      <c r="R29" s="16"/>
      <c r="S29" s="1"/>
      <c r="T29" s="2"/>
    </row>
    <row r="30" spans="3:20" x14ac:dyDescent="0.25">
      <c r="C30" s="5"/>
      <c r="D30" s="39" t="s">
        <v>26</v>
      </c>
      <c r="E30" s="219">
        <f>E5</f>
        <v>0.29166666666666669</v>
      </c>
      <c r="G30" s="61"/>
      <c r="H30" s="15"/>
      <c r="I30" s="65"/>
      <c r="J30" s="16"/>
      <c r="K30" s="1"/>
      <c r="L30" s="1"/>
      <c r="M30" s="1"/>
      <c r="N30" s="2"/>
      <c r="O30" s="2"/>
      <c r="Q30" s="18"/>
      <c r="R30" s="16"/>
      <c r="S30" s="1"/>
      <c r="T30" s="2"/>
    </row>
    <row r="31" spans="3:20" x14ac:dyDescent="0.25">
      <c r="C31" s="5"/>
      <c r="D31" s="39" t="s">
        <v>65</v>
      </c>
      <c r="E31" s="215">
        <v>0</v>
      </c>
      <c r="G31" s="61"/>
      <c r="H31" s="61"/>
      <c r="I31" s="64"/>
      <c r="J31" s="1"/>
      <c r="K31" s="1"/>
      <c r="L31" s="1"/>
      <c r="M31" s="1"/>
      <c r="N31" s="2"/>
      <c r="O31" s="2"/>
      <c r="P31" s="48"/>
      <c r="Q31" s="18"/>
      <c r="R31" s="16"/>
      <c r="S31" s="1"/>
      <c r="T31" s="2"/>
    </row>
    <row r="32" spans="3:20" x14ac:dyDescent="0.25">
      <c r="C32" s="5"/>
      <c r="D32" s="39" t="s">
        <v>27</v>
      </c>
      <c r="E32" s="219">
        <v>0</v>
      </c>
      <c r="G32" s="61"/>
      <c r="H32" s="61"/>
      <c r="I32" s="16"/>
      <c r="J32" s="1"/>
      <c r="K32" s="1"/>
      <c r="L32" s="1"/>
      <c r="N32" s="2"/>
      <c r="O32" s="2"/>
      <c r="Q32" s="18"/>
      <c r="R32" s="16"/>
      <c r="S32" s="1"/>
      <c r="T32" s="2"/>
    </row>
    <row r="33" spans="3:22" x14ac:dyDescent="0.25">
      <c r="C33" s="5"/>
      <c r="D33" s="39" t="s">
        <v>52</v>
      </c>
      <c r="E33" s="214">
        <f>E5</f>
        <v>0.29166666666666669</v>
      </c>
      <c r="G33" s="61"/>
      <c r="H33" s="61"/>
      <c r="I33" s="16"/>
      <c r="J33" s="16"/>
      <c r="K33" s="16"/>
      <c r="L33" s="1"/>
      <c r="M33" s="1"/>
      <c r="N33" s="2"/>
      <c r="O33" s="2"/>
      <c r="Q33" s="18"/>
      <c r="R33" s="16"/>
      <c r="S33" s="1"/>
      <c r="T33" s="2"/>
      <c r="U33" s="2"/>
      <c r="V33" s="2"/>
    </row>
    <row r="34" spans="3:22" x14ac:dyDescent="0.25">
      <c r="C34" s="5"/>
      <c r="D34" s="39" t="s">
        <v>53</v>
      </c>
      <c r="E34" s="214">
        <v>0</v>
      </c>
      <c r="G34" s="61"/>
      <c r="H34" s="61"/>
      <c r="I34" s="1"/>
      <c r="J34" s="1"/>
      <c r="K34" s="1"/>
      <c r="L34" s="1"/>
      <c r="M34" s="1"/>
      <c r="N34" s="2"/>
      <c r="O34" s="2"/>
      <c r="P34" s="48"/>
      <c r="Q34" s="18"/>
      <c r="R34" s="16"/>
      <c r="S34" s="1"/>
      <c r="T34" s="2"/>
      <c r="U34" s="2"/>
      <c r="V34" s="2"/>
    </row>
    <row r="35" spans="3:22" x14ac:dyDescent="0.25">
      <c r="C35" s="5"/>
      <c r="D35" s="39" t="s">
        <v>51</v>
      </c>
      <c r="E35" s="214">
        <f>E5</f>
        <v>0.29166666666666669</v>
      </c>
      <c r="M35" s="35"/>
      <c r="P35" s="48"/>
      <c r="Q35" s="18"/>
    </row>
    <row r="36" spans="3:22" x14ac:dyDescent="0.25">
      <c r="C36" s="5"/>
      <c r="D36" s="39" t="s">
        <v>108</v>
      </c>
      <c r="E36" s="214">
        <f>E5</f>
        <v>0.29166666666666669</v>
      </c>
      <c r="M36" s="35"/>
      <c r="P36" s="48"/>
    </row>
    <row r="37" spans="3:22" x14ac:dyDescent="0.25">
      <c r="C37" s="5"/>
      <c r="D37" s="39" t="s">
        <v>60</v>
      </c>
      <c r="E37" s="214">
        <f>E5</f>
        <v>0.29166666666666669</v>
      </c>
      <c r="M37" s="35"/>
    </row>
    <row r="38" spans="3:22" x14ac:dyDescent="0.25">
      <c r="C38" s="5"/>
      <c r="D38" s="39" t="s">
        <v>69</v>
      </c>
      <c r="E38" s="220">
        <v>3.125E-2</v>
      </c>
      <c r="L38" s="48"/>
      <c r="M38" s="34"/>
    </row>
    <row r="39" spans="3:22" x14ac:dyDescent="0.25">
      <c r="C39" s="7"/>
      <c r="D39" s="212" t="s">
        <v>107</v>
      </c>
      <c r="E39" s="215">
        <v>0.29166666666666669</v>
      </c>
      <c r="L39" s="35"/>
    </row>
    <row r="40" spans="3:22" x14ac:dyDescent="0.25">
      <c r="L40" s="48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1CFDD3-06CE-4461-BE93-4D04AEA2C81F}">
  <ds:schemaRefs>
    <ds:schemaRef ds:uri="http://schemas.microsoft.com/office/infopath/2007/PartnerControls"/>
    <ds:schemaRef ds:uri="f8a65ebe-2c7d-45ab-ae5c-1b1b30ad2378"/>
    <ds:schemaRef ds:uri="http://schemas.openxmlformats.org/package/2006/metadata/core-properties"/>
    <ds:schemaRef ds:uri="http://schemas.microsoft.com/office/2006/documentManagement/types"/>
    <ds:schemaRef ds:uri="f2b971ed-cbb6-4172-b474-2e7d9fac3d31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Bilan</vt:lpstr>
      <vt:lpstr>planning </vt:lpstr>
      <vt:lpstr>hs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MAURITIUS Gérald</cp:lastModifiedBy>
  <dcterms:created xsi:type="dcterms:W3CDTF">2016-10-24T13:04:51Z</dcterms:created>
  <dcterms:modified xsi:type="dcterms:W3CDTF">2024-07-19T15:08:53Z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