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/>
  <workbookPr date1904="1" codeName="ThisWorkbook"/>
  <mc:AlternateContent xmlns:mc="http://schemas.openxmlformats.org/markup-compatibility/2006">
    <mc:Choice Requires="x15">
      <x15ac:absPath xmlns:x15ac="http://schemas.microsoft.com/office/spreadsheetml/2010/11/ac" url="C:\Users\victorine\Desktop\"/>
    </mc:Choice>
  </mc:AlternateContent>
  <xr:revisionPtr revIDLastSave="0" documentId="8_{2F4C2BE8-C3BB-4975-95F0-4CD5508D622A}" xr6:coauthVersionLast="45" xr6:coauthVersionMax="45" xr10:uidLastSave="{00000000-0000-0000-0000-000000000000}"/>
  <bookViews>
    <workbookView xWindow="-108" yWindow="-108" windowWidth="23256" windowHeight="13176" xr2:uid="{00000000-000D-0000-FFFF-FFFF00000000}"/>
  </bookViews>
  <sheets>
    <sheet name="planning " sheetId="1" r:id="rId1"/>
    <sheet name="résultat " sheetId="4" r:id="rId2"/>
    <sheet name="bases de donnée" sheetId="3" r:id="rId3"/>
  </sheets>
  <definedNames>
    <definedName name="_xlnm._FilterDatabase" localSheetId="0" hidden="1">'planning '!$B$5:$E$11</definedName>
    <definedName name="gérald">'bases de donnée'!$D$20:$D$29</definedName>
    <definedName name="gérald1">'bases de donnée'!$D$20:$E$29</definedName>
    <definedName name="gerald2">'bases de donnée'!$D$20:$D$32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U24" i="1" l="1"/>
  <c r="S24" i="1"/>
  <c r="X24" i="1" s="1"/>
  <c r="Q24" i="1"/>
  <c r="M24" i="1"/>
  <c r="N24" i="1" s="1"/>
  <c r="K24" i="1"/>
  <c r="T24" i="1" s="1"/>
  <c r="Y24" i="1" s="1"/>
  <c r="U23" i="1"/>
  <c r="S23" i="1"/>
  <c r="X23" i="1" s="1"/>
  <c r="Q23" i="1"/>
  <c r="P23" i="1"/>
  <c r="N23" i="1"/>
  <c r="M23" i="1"/>
  <c r="K23" i="1"/>
  <c r="L23" i="1" s="1"/>
  <c r="X22" i="1"/>
  <c r="U22" i="1"/>
  <c r="S22" i="1"/>
  <c r="Q22" i="1"/>
  <c r="M22" i="1"/>
  <c r="N22" i="1" s="1"/>
  <c r="K22" i="1"/>
  <c r="L22" i="1" s="1"/>
  <c r="U21" i="1"/>
  <c r="S21" i="1"/>
  <c r="X21" i="1" s="1"/>
  <c r="Q21" i="1"/>
  <c r="M21" i="1"/>
  <c r="N21" i="1" s="1"/>
  <c r="K21" i="1"/>
  <c r="L21" i="1" s="1"/>
  <c r="U20" i="1"/>
  <c r="S20" i="1"/>
  <c r="X20" i="1" s="1"/>
  <c r="Z20" i="1" s="1"/>
  <c r="Q20" i="1"/>
  <c r="M20" i="1"/>
  <c r="N20" i="1" s="1"/>
  <c r="K20" i="1"/>
  <c r="L20" i="1" s="1"/>
  <c r="X19" i="1"/>
  <c r="U19" i="1"/>
  <c r="Z19" i="1" s="1"/>
  <c r="S19" i="1"/>
  <c r="Q19" i="1"/>
  <c r="M19" i="1"/>
  <c r="N19" i="1" s="1"/>
  <c r="L19" i="1"/>
  <c r="K19" i="1"/>
  <c r="U18" i="1"/>
  <c r="S18" i="1"/>
  <c r="X18" i="1" s="1"/>
  <c r="Q18" i="1"/>
  <c r="P18" i="1" s="1"/>
  <c r="P19" i="1" s="1"/>
  <c r="M18" i="1"/>
  <c r="N18" i="1" s="1"/>
  <c r="K18" i="1"/>
  <c r="L18" i="1" s="1"/>
  <c r="D18" i="1"/>
  <c r="C18" i="1" s="1"/>
  <c r="Z24" i="1" l="1"/>
  <c r="Z18" i="1"/>
  <c r="Z22" i="1"/>
  <c r="Z23" i="1"/>
  <c r="J18" i="1"/>
  <c r="AA18" i="1"/>
  <c r="Z21" i="1"/>
  <c r="L24" i="1"/>
  <c r="O18" i="1"/>
  <c r="O19" i="1" s="1"/>
  <c r="D19" i="1"/>
  <c r="J19" i="1" l="1"/>
  <c r="D20" i="1"/>
  <c r="O20" i="1"/>
  <c r="V19" i="1"/>
  <c r="AA19" i="1" s="1"/>
  <c r="V20" i="1" l="1"/>
  <c r="AA20" i="1" s="1"/>
  <c r="O21" i="1"/>
  <c r="D21" i="1"/>
  <c r="J20" i="1"/>
  <c r="J21" i="1" l="1"/>
  <c r="D22" i="1"/>
  <c r="O22" i="1"/>
  <c r="V21" i="1"/>
  <c r="AA21" i="1" s="1"/>
  <c r="V22" i="1" l="1"/>
  <c r="AA22" i="1" s="1"/>
  <c r="O23" i="1"/>
  <c r="D23" i="1"/>
  <c r="J22" i="1"/>
  <c r="D24" i="1" l="1"/>
  <c r="J24" i="1" s="1"/>
  <c r="J23" i="1"/>
  <c r="V23" i="1"/>
  <c r="AA23" i="1" s="1"/>
  <c r="O24" i="1"/>
  <c r="V24" i="1" l="1"/>
  <c r="AA24" i="1" s="1"/>
  <c r="P21" i="1"/>
  <c r="P24" i="1"/>
  <c r="Q5" i="1" l="1"/>
  <c r="D5" i="1" l="1"/>
  <c r="C5" i="1" l="1"/>
  <c r="K5" i="1"/>
  <c r="J5" i="1" l="1"/>
  <c r="G11" i="4" l="1"/>
  <c r="G9" i="4"/>
  <c r="G10" i="4"/>
  <c r="G5" i="4"/>
  <c r="G4" i="4"/>
  <c r="G3" i="4"/>
  <c r="C10" i="4"/>
  <c r="C9" i="4"/>
  <c r="C7" i="4"/>
  <c r="C8" i="4"/>
  <c r="C6" i="4"/>
  <c r="C5" i="4"/>
  <c r="C4" i="4"/>
  <c r="Q6" i="1" l="1"/>
  <c r="Q7" i="1"/>
  <c r="Q8" i="1"/>
  <c r="Q9" i="1"/>
  <c r="Q10" i="1"/>
  <c r="Q11" i="1"/>
  <c r="D23" i="4" l="1"/>
  <c r="H4" i="4"/>
  <c r="H5" i="4"/>
  <c r="L5" i="1"/>
  <c r="G6" i="4" l="1"/>
  <c r="G13" i="4"/>
  <c r="G12" i="4"/>
  <c r="M10" i="1"/>
  <c r="M11" i="1"/>
  <c r="M5" i="1"/>
  <c r="K10" i="1"/>
  <c r="K11" i="1"/>
  <c r="C12" i="4" l="1"/>
  <c r="E32" i="3"/>
  <c r="E30" i="3"/>
  <c r="H24" i="4" l="1"/>
  <c r="O5" i="3" l="1"/>
  <c r="P5" i="1" l="1"/>
  <c r="P6" i="1" s="1"/>
  <c r="H21" i="4" s="1"/>
  <c r="H3" i="4" l="1"/>
  <c r="H6" i="4" s="1"/>
  <c r="H23" i="4" l="1"/>
  <c r="U11" i="1" l="1"/>
  <c r="S11" i="1"/>
  <c r="N11" i="1"/>
  <c r="U10" i="1"/>
  <c r="S10" i="1"/>
  <c r="X10" i="1" s="1"/>
  <c r="P10" i="1"/>
  <c r="N10" i="1"/>
  <c r="L10" i="1"/>
  <c r="U9" i="1"/>
  <c r="S9" i="1"/>
  <c r="X9" i="1" s="1"/>
  <c r="U8" i="1"/>
  <c r="S8" i="1"/>
  <c r="X8" i="1" s="1"/>
  <c r="U7" i="1"/>
  <c r="S7" i="1"/>
  <c r="X7" i="1" s="1"/>
  <c r="U6" i="1"/>
  <c r="S6" i="1"/>
  <c r="X6" i="1" s="1"/>
  <c r="U5" i="1"/>
  <c r="S5" i="1"/>
  <c r="X5" i="1" s="1"/>
  <c r="N5" i="1"/>
  <c r="O5" i="1" l="1"/>
  <c r="T11" i="1"/>
  <c r="Y11" i="1" s="1"/>
  <c r="X11" i="1"/>
  <c r="Z10" i="1"/>
  <c r="Z7" i="1"/>
  <c r="Z5" i="1"/>
  <c r="Z8" i="1"/>
  <c r="Z9" i="1"/>
  <c r="Z6" i="1"/>
  <c r="L11" i="1"/>
  <c r="Z11" i="1" l="1"/>
  <c r="AA5" i="1"/>
  <c r="E27" i="3" l="1"/>
  <c r="E26" i="3"/>
  <c r="E28" i="3"/>
  <c r="E23" i="3"/>
  <c r="E22" i="3"/>
  <c r="K8" i="1" l="1"/>
  <c r="L8" i="1" s="1"/>
  <c r="K7" i="1"/>
  <c r="L7" i="1" s="1"/>
  <c r="M8" i="1"/>
  <c r="N8" i="1" s="1"/>
  <c r="M7" i="1"/>
  <c r="N7" i="1" s="1"/>
  <c r="K6" i="1"/>
  <c r="M6" i="1"/>
  <c r="N6" i="1" s="1"/>
  <c r="M9" i="1"/>
  <c r="N9" i="1" s="1"/>
  <c r="K9" i="1"/>
  <c r="L6" i="1" l="1"/>
  <c r="O6" i="1"/>
  <c r="V6" i="1" s="1"/>
  <c r="L9" i="1"/>
  <c r="O7" i="1" l="1"/>
  <c r="V7" i="1" s="1"/>
  <c r="AA6" i="1"/>
  <c r="O8" i="1" l="1"/>
  <c r="H20" i="4"/>
  <c r="O9" i="1" l="1"/>
  <c r="O10" i="1" s="1"/>
  <c r="V8" i="1"/>
  <c r="AA8" i="1" s="1"/>
  <c r="AA7" i="1"/>
  <c r="V9" i="1" l="1"/>
  <c r="V10" i="1" s="1"/>
  <c r="O11" i="1"/>
  <c r="AA9" i="1" l="1"/>
  <c r="V11" i="1"/>
  <c r="AA10" i="1"/>
  <c r="P11" i="1"/>
  <c r="P8" i="1"/>
  <c r="AA11" i="1" l="1"/>
  <c r="H19" i="4" l="1"/>
  <c r="H22" i="4"/>
  <c r="R3" i="4" l="1"/>
  <c r="R4" i="4"/>
  <c r="R5" i="4" l="1"/>
  <c r="D6" i="1"/>
  <c r="J6" i="1" s="1"/>
  <c r="D7" i="1" l="1"/>
  <c r="D8" i="1" l="1"/>
  <c r="J7" i="1"/>
  <c r="D9" i="1" l="1"/>
  <c r="J9" i="1" s="1"/>
  <c r="J8" i="1"/>
  <c r="D10" i="1" l="1"/>
  <c r="D11" i="1" l="1"/>
  <c r="J10" i="1"/>
  <c r="J11" i="1" l="1"/>
  <c r="K13" i="1" s="1"/>
  <c r="C13" i="4" s="1"/>
  <c r="H18" i="4" s="1"/>
  <c r="C20" i="4"/>
  <c r="D20" i="4" s="1"/>
  <c r="N9" i="4"/>
  <c r="O9" i="4" s="1"/>
  <c r="N13" i="4"/>
  <c r="O13" i="4" s="1"/>
  <c r="L7" i="4"/>
  <c r="M7" i="4" s="1"/>
  <c r="N10" i="4"/>
  <c r="O10" i="4" s="1"/>
  <c r="N11" i="4"/>
  <c r="O11" i="4" s="1"/>
  <c r="L11" i="4"/>
  <c r="M11" i="4" s="1"/>
  <c r="L15" i="4"/>
  <c r="M15" i="4" s="1"/>
  <c r="N14" i="4"/>
  <c r="O14" i="4" s="1"/>
  <c r="N4" i="4"/>
  <c r="L10" i="4"/>
  <c r="M10" i="4" s="1"/>
  <c r="N15" i="4"/>
  <c r="O15" i="4" s="1"/>
  <c r="N7" i="4"/>
  <c r="O7" i="4" s="1"/>
  <c r="N12" i="4"/>
  <c r="O12" i="4" s="1"/>
  <c r="N6" i="4"/>
  <c r="O6" i="4" s="1"/>
  <c r="L14" i="4"/>
  <c r="M14" i="4" s="1"/>
  <c r="C19" i="4"/>
  <c r="D19" i="4" s="1"/>
  <c r="L13" i="4"/>
  <c r="M13" i="4" s="1"/>
  <c r="N8" i="4"/>
  <c r="O8" i="4" s="1"/>
  <c r="L12" i="4"/>
  <c r="M12" i="4" s="1"/>
  <c r="L5" i="4"/>
  <c r="M5" i="4" s="1"/>
  <c r="L6" i="4"/>
  <c r="M6" i="4" s="1"/>
  <c r="L4" i="4"/>
  <c r="M4" i="4" s="1"/>
  <c r="N5" i="4"/>
  <c r="O5" i="4" s="1"/>
  <c r="L9" i="4"/>
  <c r="M9" i="4" s="1"/>
  <c r="C21" i="4"/>
  <c r="D21" i="4" s="1"/>
  <c r="L8" i="4"/>
  <c r="M8" i="4" s="1"/>
  <c r="O4" i="4" l="1"/>
  <c r="D18" i="4" s="1"/>
  <c r="D24" i="4" s="1"/>
  <c r="C18" i="4"/>
  <c r="H25" i="4"/>
</calcChain>
</file>

<file path=xl/sharedStrings.xml><?xml version="1.0" encoding="utf-8"?>
<sst xmlns="http://schemas.openxmlformats.org/spreadsheetml/2006/main" count="172" uniqueCount="103">
  <si>
    <t>pause</t>
  </si>
  <si>
    <t>date</t>
  </si>
  <si>
    <t>jour</t>
  </si>
  <si>
    <t>vendredi</t>
  </si>
  <si>
    <t>samedi</t>
  </si>
  <si>
    <t>dimanche</t>
  </si>
  <si>
    <t>mardi</t>
  </si>
  <si>
    <t>mercredi</t>
  </si>
  <si>
    <t>jeudi</t>
  </si>
  <si>
    <t>durée du travail hebdomadaire max</t>
  </si>
  <si>
    <t>repos hebdomadaire</t>
  </si>
  <si>
    <t>heures sup mensuel max par mois</t>
  </si>
  <si>
    <t>amplitude du temps</t>
  </si>
  <si>
    <t>la durée de travail jour</t>
  </si>
  <si>
    <t>heures de nuit</t>
  </si>
  <si>
    <t xml:space="preserve">repos quotidien </t>
  </si>
  <si>
    <t>heures de dimanche</t>
  </si>
  <si>
    <t>durée du travail hebdomadaire</t>
  </si>
  <si>
    <t xml:space="preserve">heure jour </t>
  </si>
  <si>
    <t>congés</t>
  </si>
  <si>
    <t>heures sup  1 à 14</t>
  </si>
  <si>
    <t>heures sup 15 à 25</t>
  </si>
  <si>
    <t>Férié travaillé</t>
  </si>
  <si>
    <t xml:space="preserve">début H nuit </t>
  </si>
  <si>
    <t>Fin</t>
  </si>
  <si>
    <t>Début</t>
  </si>
  <si>
    <t>heures annueltravail</t>
  </si>
  <si>
    <t>off</t>
  </si>
  <si>
    <t>travail</t>
  </si>
  <si>
    <t>récupération</t>
  </si>
  <si>
    <t>congé 1 jour</t>
  </si>
  <si>
    <t xml:space="preserve">congé 1/2 jour </t>
  </si>
  <si>
    <t>congé 5h24</t>
  </si>
  <si>
    <t>arrêt maladie</t>
  </si>
  <si>
    <t>arrêt travail</t>
  </si>
  <si>
    <t xml:space="preserve">férié </t>
  </si>
  <si>
    <t>férié travaillé</t>
  </si>
  <si>
    <t>H dimanche</t>
  </si>
  <si>
    <t>H nuit</t>
  </si>
  <si>
    <t xml:space="preserve">H dimanche </t>
  </si>
  <si>
    <t>H sup + 36</t>
  </si>
  <si>
    <t>H Jour</t>
  </si>
  <si>
    <t>H amp</t>
  </si>
  <si>
    <t>H férié travaillé</t>
  </si>
  <si>
    <t>H semaine</t>
  </si>
  <si>
    <t>hc de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</si>
  <si>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</si>
  <si>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</si>
  <si>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</si>
  <si>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</si>
  <si>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</si>
  <si>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</si>
  <si>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</si>
  <si>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</si>
  <si>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</si>
  <si>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</si>
  <si>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</si>
  <si>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</si>
  <si>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 xml:space="preserve">hc de </t>
  </si>
  <si>
    <t>congé</t>
  </si>
  <si>
    <t>jours</t>
  </si>
  <si>
    <t>heures</t>
  </si>
  <si>
    <t>Heures suplémentaires réels</t>
  </si>
  <si>
    <t>H sup + 36h</t>
  </si>
  <si>
    <t>hs  semaine</t>
  </si>
  <si>
    <t>résultat suite à la réglementation depuis 2008</t>
  </si>
  <si>
    <t>HS + 36</t>
  </si>
  <si>
    <t xml:space="preserve">H férié travaillé </t>
  </si>
  <si>
    <t>résultat en jours</t>
  </si>
  <si>
    <t xml:space="preserve">j semaine </t>
  </si>
  <si>
    <t>jour semaine maximun</t>
  </si>
  <si>
    <t>H semaine hc de</t>
  </si>
  <si>
    <t>résultat récupération sur l'année</t>
  </si>
  <si>
    <t xml:space="preserve">récup pris </t>
  </si>
  <si>
    <t>résultat des heures hors cadre sur l'année</t>
  </si>
  <si>
    <t xml:space="preserve">H sup + 36 </t>
  </si>
  <si>
    <t>amplitude jour +12 h</t>
  </si>
  <si>
    <t>jour +10 h</t>
  </si>
  <si>
    <t>repos journalier /hebdo</t>
  </si>
  <si>
    <t xml:space="preserve">h sup </t>
  </si>
  <si>
    <t>heures majoré</t>
  </si>
  <si>
    <t xml:space="preserve">mois </t>
  </si>
  <si>
    <t>hs +36 réel</t>
  </si>
  <si>
    <t>congé de naissance</t>
  </si>
  <si>
    <t>congé parentale</t>
  </si>
  <si>
    <t>congé parentale week end</t>
  </si>
  <si>
    <t>résultat</t>
  </si>
  <si>
    <t>résultat congé parentale</t>
  </si>
  <si>
    <t>résultat congé naissance</t>
  </si>
  <si>
    <t>congé = 243 h</t>
  </si>
  <si>
    <t>congé parentale 11 jours - naissance 3 jours</t>
  </si>
  <si>
    <t>résultat sur l'année en heures</t>
  </si>
  <si>
    <t xml:space="preserve">résutat </t>
  </si>
  <si>
    <t xml:space="preserve"> jours sur l'année</t>
  </si>
  <si>
    <t>hs +36    réglementation 2018</t>
  </si>
  <si>
    <t>heures semaine + 48h</t>
  </si>
  <si>
    <t>h sup mois + 25h</t>
  </si>
  <si>
    <t>perte heures non majoré suite à la réglementation 2008</t>
  </si>
  <si>
    <t>jours hedbomadaire + 6 jours</t>
  </si>
  <si>
    <t>année</t>
  </si>
  <si>
    <t>travail annuel +1580 h</t>
  </si>
  <si>
    <t>Heures supplémenatires  2018</t>
  </si>
  <si>
    <t>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</si>
</sst>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h]:mm"/>
    <numFmt numFmtId="165" formatCode="[$-40C]d\-mmm;@"/>
    <numFmt numFmtId="166" formatCode="d\ &quot;j.&quot;dd/mm/yy\ hh:mm"/>
    <numFmt numFmtId="167" formatCode="[$-40C]hh:mm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6"/>
      <color theme="1"/>
      <name val="Calibri"/>
      <family val="2"/>
      <scheme val="minor"/>
    </font>
  </fonts>
  <fills count="14">
    <fill>
      <patternFill patternType="none"/>
    </fill>
    <fill>
      <patternFill patternType="gray125"/>
    </fill>
    <fill>
      <patternFill patternType="solid">
        <fgColor rgb="FFFDB9E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 style="medium">
        <color theme="1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4" fillId="0" borderId="0" xfId="0" applyFont="1"/>
    <xf numFmtId="0" fontId="4" fillId="2" borderId="10" xfId="0" applyFont="1" applyFill="1" applyBorder="1"/>
    <xf numFmtId="0" fontId="4" fillId="2" borderId="7" xfId="0" applyFont="1" applyFill="1" applyBorder="1"/>
    <xf numFmtId="0" fontId="4" fillId="2" borderId="7" xfId="0" applyFont="1" applyFill="1" applyBorder="1" applyAlignment="1">
      <alignment horizontal="right"/>
    </xf>
    <xf numFmtId="0" fontId="4" fillId="2" borderId="9" xfId="0" applyFont="1" applyFill="1" applyBorder="1"/>
    <xf numFmtId="164" fontId="1" fillId="0" borderId="0" xfId="0" applyNumberFormat="1" applyFont="1"/>
    <xf numFmtId="164" fontId="3" fillId="4" borderId="1" xfId="0" applyNumberFormat="1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2" fillId="7" borderId="1" xfId="0" applyFont="1" applyFill="1" applyBorder="1" applyAlignment="1">
      <alignment horizontal="center"/>
    </xf>
    <xf numFmtId="0" fontId="3" fillId="7" borderId="3" xfId="0" applyFont="1" applyFill="1" applyBorder="1" applyAlignment="1">
      <alignment horizontal="center"/>
    </xf>
    <xf numFmtId="0" fontId="0" fillId="7" borderId="1" xfId="0" applyFill="1" applyBorder="1" applyAlignment="1">
      <alignment horizontal="center"/>
    </xf>
    <xf numFmtId="0" fontId="0" fillId="7" borderId="3" xfId="0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 vertical="center"/>
    </xf>
    <xf numFmtId="164" fontId="3" fillId="3" borderId="3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64" fontId="1" fillId="3" borderId="6" xfId="0" applyNumberFormat="1" applyFont="1" applyFill="1" applyBorder="1" applyAlignment="1">
      <alignment horizontal="center"/>
    </xf>
    <xf numFmtId="0" fontId="0" fillId="0" borderId="0" xfId="0" applyAlignment="1">
      <alignment horizontal="center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16" fontId="1" fillId="0" borderId="0" xfId="0" applyNumberFormat="1" applyFont="1" applyAlignment="1">
      <alignment horizontal="center"/>
    </xf>
    <xf numFmtId="0" fontId="3" fillId="0" borderId="0" xfId="0" applyFont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164" fontId="0" fillId="3" borderId="1" xfId="0" applyNumberFormat="1" applyFill="1" applyBorder="1" applyAlignment="1">
      <alignment horizontal="center"/>
    </xf>
    <xf numFmtId="164" fontId="1" fillId="3" borderId="2" xfId="0" applyNumberFormat="1" applyFont="1" applyFill="1" applyBorder="1" applyAlignment="1">
      <alignment horizontal="center"/>
    </xf>
    <xf numFmtId="0" fontId="1" fillId="0" borderId="12" xfId="0" applyFont="1" applyBorder="1"/>
    <xf numFmtId="0" fontId="5" fillId="0" borderId="3" xfId="0" applyFont="1" applyBorder="1" applyAlignment="1">
      <alignment horizontal="left"/>
    </xf>
    <xf numFmtId="0" fontId="6" fillId="0" borderId="0" xfId="0" applyFont="1"/>
    <xf numFmtId="0" fontId="1" fillId="0" borderId="2" xfId="0" applyFont="1" applyBorder="1" applyAlignment="1">
      <alignment horizontal="center"/>
    </xf>
    <xf numFmtId="0" fontId="0" fillId="0" borderId="5" xfId="0" applyBorder="1" applyAlignment="1">
      <alignment horizontal="center"/>
    </xf>
    <xf numFmtId="165" fontId="0" fillId="4" borderId="1" xfId="0" applyNumberFormat="1" applyFill="1" applyBorder="1" applyAlignment="1">
      <alignment horizontal="center"/>
    </xf>
    <xf numFmtId="0" fontId="0" fillId="8" borderId="4" xfId="0" applyFill="1" applyBorder="1" applyAlignment="1">
      <alignment horizontal="center"/>
    </xf>
    <xf numFmtId="164" fontId="0" fillId="4" borderId="1" xfId="0" applyNumberForma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0" fillId="9" borderId="1" xfId="0" applyNumberFormat="1" applyFill="1" applyBorder="1" applyAlignment="1">
      <alignment horizontal="center"/>
    </xf>
    <xf numFmtId="164" fontId="0" fillId="9" borderId="10" xfId="0" applyNumberFormat="1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164" fontId="0" fillId="4" borderId="5" xfId="0" applyNumberFormat="1" applyFill="1" applyBorder="1" applyAlignment="1">
      <alignment horizontal="center"/>
    </xf>
    <xf numFmtId="164" fontId="0" fillId="9" borderId="3" xfId="0" applyNumberFormat="1" applyFill="1" applyBorder="1" applyAlignment="1">
      <alignment horizontal="center"/>
    </xf>
    <xf numFmtId="164" fontId="0" fillId="6" borderId="1" xfId="0" applyNumberFormat="1" applyFill="1" applyBorder="1" applyAlignment="1">
      <alignment horizontal="center"/>
    </xf>
    <xf numFmtId="164" fontId="0" fillId="6" borderId="6" xfId="0" applyNumberFormat="1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165" fontId="0" fillId="6" borderId="1" xfId="0" applyNumberFormat="1" applyFill="1" applyBorder="1" applyAlignment="1">
      <alignment horizontal="center"/>
    </xf>
    <xf numFmtId="0" fontId="0" fillId="8" borderId="6" xfId="0" applyFill="1" applyBorder="1" applyAlignment="1">
      <alignment horizontal="center"/>
    </xf>
    <xf numFmtId="0" fontId="5" fillId="0" borderId="12" xfId="0" applyFont="1" applyBorder="1" applyAlignment="1">
      <alignment horizontal="left"/>
    </xf>
    <xf numFmtId="164" fontId="0" fillId="4" borderId="1" xfId="0" applyNumberForma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164" fontId="0" fillId="5" borderId="1" xfId="0" applyNumberFormat="1" applyFill="1" applyBorder="1" applyAlignment="1">
      <alignment horizontal="center"/>
    </xf>
    <xf numFmtId="164" fontId="0" fillId="5" borderId="1" xfId="0" applyNumberFormat="1" applyFill="1" applyBorder="1" applyAlignment="1">
      <alignment horizontal="center" vertical="center"/>
    </xf>
    <xf numFmtId="164" fontId="0" fillId="0" borderId="10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10" borderId="6" xfId="0" applyNumberFormat="1" applyFill="1" applyBorder="1" applyAlignment="1">
      <alignment horizontal="center"/>
    </xf>
    <xf numFmtId="164" fontId="0" fillId="4" borderId="3" xfId="0" applyNumberFormat="1" applyFill="1" applyBorder="1" applyAlignment="1">
      <alignment horizontal="center" vertical="center"/>
    </xf>
    <xf numFmtId="165" fontId="0" fillId="0" borderId="0" xfId="0" applyNumberForma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1" fillId="0" borderId="2" xfId="0" applyFont="1" applyBorder="1"/>
    <xf numFmtId="164" fontId="0" fillId="4" borderId="3" xfId="0" applyNumberFormat="1" applyFill="1" applyBorder="1" applyAlignment="1">
      <alignment horizontal="center"/>
    </xf>
    <xf numFmtId="0" fontId="3" fillId="9" borderId="1" xfId="0" applyFont="1" applyFill="1" applyBorder="1" applyAlignment="1">
      <alignment horizontal="center"/>
    </xf>
    <xf numFmtId="1" fontId="0" fillId="3" borderId="6" xfId="0" applyNumberForma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10" borderId="5" xfId="0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164" fontId="0" fillId="6" borderId="4" xfId="0" applyNumberFormat="1" applyFill="1" applyBorder="1" applyAlignment="1">
      <alignment horizontal="center"/>
    </xf>
    <xf numFmtId="0" fontId="0" fillId="6" borderId="3" xfId="0" applyFill="1" applyBorder="1" applyAlignment="1">
      <alignment horizontal="center"/>
    </xf>
    <xf numFmtId="0" fontId="0" fillId="6" borderId="3" xfId="0" applyFill="1" applyBorder="1"/>
    <xf numFmtId="0" fontId="0" fillId="6" borderId="12" xfId="0" applyFill="1" applyBorder="1"/>
    <xf numFmtId="0" fontId="0" fillId="6" borderId="1" xfId="0" applyFill="1" applyBorder="1" applyAlignment="1">
      <alignment horizontal="right"/>
    </xf>
    <xf numFmtId="0" fontId="0" fillId="11" borderId="3" xfId="0" applyFill="1" applyBorder="1"/>
    <xf numFmtId="0" fontId="0" fillId="11" borderId="2" xfId="0" applyFill="1" applyBorder="1" applyAlignment="1">
      <alignment horizontal="right"/>
    </xf>
    <xf numFmtId="0" fontId="0" fillId="11" borderId="1" xfId="0" applyFill="1" applyBorder="1" applyAlignment="1">
      <alignment horizontal="right" vertical="center"/>
    </xf>
    <xf numFmtId="1" fontId="1" fillId="11" borderId="1" xfId="0" applyNumberFormat="1" applyFont="1" applyFill="1" applyBorder="1" applyAlignment="1">
      <alignment horizontal="center"/>
    </xf>
    <xf numFmtId="164" fontId="0" fillId="11" borderId="1" xfId="0" applyNumberFormat="1" applyFill="1" applyBorder="1" applyAlignment="1">
      <alignment horizontal="center" vertical="center"/>
    </xf>
    <xf numFmtId="0" fontId="0" fillId="11" borderId="1" xfId="0" applyFill="1" applyBorder="1" applyAlignment="1">
      <alignment horizontal="right"/>
    </xf>
    <xf numFmtId="164" fontId="0" fillId="11" borderId="1" xfId="0" applyNumberFormat="1" applyFill="1" applyBorder="1" applyAlignment="1">
      <alignment horizontal="center"/>
    </xf>
    <xf numFmtId="164" fontId="4" fillId="11" borderId="1" xfId="0" applyNumberFormat="1" applyFont="1" applyFill="1" applyBorder="1" applyAlignment="1">
      <alignment horizontal="center"/>
    </xf>
    <xf numFmtId="1" fontId="4" fillId="11" borderId="1" xfId="0" applyNumberFormat="1" applyFont="1" applyFill="1" applyBorder="1" applyAlignment="1">
      <alignment horizontal="center"/>
    </xf>
    <xf numFmtId="0" fontId="0" fillId="11" borderId="7" xfId="0" applyFill="1" applyBorder="1"/>
    <xf numFmtId="164" fontId="1" fillId="3" borderId="11" xfId="0" applyNumberFormat="1" applyFont="1" applyFill="1" applyBorder="1" applyAlignment="1">
      <alignment horizontal="center"/>
    </xf>
    <xf numFmtId="0" fontId="0" fillId="7" borderId="3" xfId="0" applyFill="1" applyBorder="1"/>
    <xf numFmtId="0" fontId="0" fillId="7" borderId="2" xfId="0" applyFill="1" applyBorder="1" applyAlignment="1">
      <alignment horizontal="right"/>
    </xf>
    <xf numFmtId="0" fontId="1" fillId="7" borderId="3" xfId="0" applyFont="1" applyFill="1" applyBorder="1"/>
    <xf numFmtId="0" fontId="1" fillId="7" borderId="7" xfId="0" applyFont="1" applyFill="1" applyBorder="1"/>
    <xf numFmtId="0" fontId="0" fillId="7" borderId="8" xfId="0" applyFill="1" applyBorder="1" applyAlignment="1">
      <alignment horizontal="right"/>
    </xf>
    <xf numFmtId="0" fontId="0" fillId="7" borderId="12" xfId="0" applyFill="1" applyBorder="1" applyAlignment="1">
      <alignment horizontal="right"/>
    </xf>
    <xf numFmtId="0" fontId="4" fillId="7" borderId="3" xfId="0" applyFont="1" applyFill="1" applyBorder="1"/>
    <xf numFmtId="0" fontId="0" fillId="7" borderId="12" xfId="0" applyFill="1" applyBorder="1"/>
    <xf numFmtId="0" fontId="1" fillId="5" borderId="1" xfId="0" applyFont="1" applyFill="1" applyBorder="1" applyAlignment="1">
      <alignment horizontal="center"/>
    </xf>
    <xf numFmtId="164" fontId="1" fillId="5" borderId="1" xfId="0" applyNumberFormat="1" applyFont="1" applyFill="1" applyBorder="1" applyAlignment="1">
      <alignment horizontal="center"/>
    </xf>
    <xf numFmtId="0" fontId="0" fillId="5" borderId="3" xfId="0" applyFill="1" applyBorder="1"/>
    <xf numFmtId="0" fontId="0" fillId="5" borderId="2" xfId="0" applyFill="1" applyBorder="1"/>
    <xf numFmtId="0" fontId="0" fillId="5" borderId="6" xfId="0" applyFill="1" applyBorder="1" applyAlignment="1">
      <alignment horizontal="center"/>
    </xf>
    <xf numFmtId="164" fontId="3" fillId="7" borderId="2" xfId="0" applyNumberFormat="1" applyFont="1" applyFill="1" applyBorder="1" applyAlignment="1">
      <alignment horizontal="center"/>
    </xf>
    <xf numFmtId="164" fontId="3" fillId="7" borderId="12" xfId="0" applyNumberFormat="1" applyFont="1" applyFill="1" applyBorder="1" applyAlignment="1">
      <alignment horizontal="center"/>
    </xf>
    <xf numFmtId="164" fontId="0" fillId="6" borderId="0" xfId="0" applyNumberFormat="1" applyFill="1" applyAlignment="1">
      <alignment horizontal="center"/>
    </xf>
    <xf numFmtId="0" fontId="0" fillId="6" borderId="1" xfId="0" applyFill="1" applyBorder="1"/>
    <xf numFmtId="0" fontId="0" fillId="5" borderId="9" xfId="0" applyFill="1" applyBorder="1" applyAlignment="1">
      <alignment horizontal="center"/>
    </xf>
    <xf numFmtId="0" fontId="3" fillId="7" borderId="10" xfId="0" applyFont="1" applyFill="1" applyBorder="1" applyAlignment="1">
      <alignment horizontal="center" vertical="center"/>
    </xf>
    <xf numFmtId="164" fontId="3" fillId="7" borderId="11" xfId="0" applyNumberFormat="1" applyFont="1" applyFill="1" applyBorder="1" applyAlignment="1">
      <alignment horizontal="right"/>
    </xf>
    <xf numFmtId="164" fontId="3" fillId="3" borderId="4" xfId="0" applyNumberFormat="1" applyFont="1" applyFill="1" applyBorder="1" applyAlignment="1">
      <alignment horizontal="center"/>
    </xf>
    <xf numFmtId="0" fontId="0" fillId="12" borderId="3" xfId="0" applyFill="1" applyBorder="1"/>
    <xf numFmtId="0" fontId="0" fillId="12" borderId="2" xfId="0" applyFill="1" applyBorder="1" applyAlignment="1">
      <alignment horizontal="right"/>
    </xf>
    <xf numFmtId="0" fontId="0" fillId="12" borderId="6" xfId="0" applyFill="1" applyBorder="1" applyAlignment="1">
      <alignment horizontal="center"/>
    </xf>
    <xf numFmtId="0" fontId="0" fillId="12" borderId="1" xfId="0" applyFill="1" applyBorder="1" applyAlignment="1">
      <alignment horizontal="center"/>
    </xf>
    <xf numFmtId="0" fontId="1" fillId="0" borderId="3" xfId="0" applyFont="1" applyBorder="1"/>
    <xf numFmtId="0" fontId="0" fillId="6" borderId="6" xfId="0" applyFill="1" applyBorder="1"/>
    <xf numFmtId="0" fontId="0" fillId="5" borderId="2" xfId="0" applyFill="1" applyBorder="1" applyAlignment="1">
      <alignment horizontal="right"/>
    </xf>
    <xf numFmtId="0" fontId="0" fillId="5" borderId="7" xfId="0" applyFill="1" applyBorder="1" applyAlignment="1">
      <alignment horizontal="center"/>
    </xf>
    <xf numFmtId="0" fontId="0" fillId="5" borderId="12" xfId="0" applyFill="1" applyBorder="1" applyAlignment="1">
      <alignment horizontal="right"/>
    </xf>
    <xf numFmtId="164" fontId="4" fillId="0" borderId="1" xfId="0" applyNumberFormat="1" applyFont="1" applyBorder="1" applyAlignment="1">
      <alignment horizontal="center"/>
    </xf>
    <xf numFmtId="0" fontId="3" fillId="11" borderId="1" xfId="0" applyFont="1" applyFill="1" applyBorder="1" applyAlignment="1">
      <alignment horizontal="right"/>
    </xf>
    <xf numFmtId="0" fontId="0" fillId="11" borderId="12" xfId="0" applyFill="1" applyBorder="1"/>
    <xf numFmtId="0" fontId="0" fillId="11" borderId="2" xfId="0" applyFill="1" applyBorder="1"/>
    <xf numFmtId="1" fontId="0" fillId="11" borderId="1" xfId="0" applyNumberFormat="1" applyFill="1" applyBorder="1" applyAlignment="1">
      <alignment horizontal="center"/>
    </xf>
    <xf numFmtId="0" fontId="3" fillId="11" borderId="3" xfId="0" applyFont="1" applyFill="1" applyBorder="1" applyAlignment="1">
      <alignment horizontal="center"/>
    </xf>
    <xf numFmtId="0" fontId="3" fillId="11" borderId="1" xfId="0" applyFont="1" applyFill="1" applyBorder="1" applyAlignment="1">
      <alignment horizontal="center"/>
    </xf>
    <xf numFmtId="0" fontId="0" fillId="11" borderId="11" xfId="0" applyFill="1" applyBorder="1" applyAlignment="1">
      <alignment horizontal="right"/>
    </xf>
    <xf numFmtId="164" fontId="4" fillId="0" borderId="0" xfId="0" applyNumberFormat="1" applyFont="1" applyAlignment="1">
      <alignment horizontal="center"/>
    </xf>
    <xf numFmtId="0" fontId="0" fillId="11" borderId="1" xfId="0" applyFill="1" applyBorder="1" applyAlignment="1">
      <alignment horizontal="center" vertical="center"/>
    </xf>
    <xf numFmtId="1" fontId="1" fillId="3" borderId="2" xfId="0" applyNumberFormat="1" applyFont="1" applyFill="1" applyBorder="1" applyAlignment="1">
      <alignment horizontal="center"/>
    </xf>
    <xf numFmtId="20" fontId="0" fillId="0" borderId="0" xfId="0" applyNumberFormat="1" applyAlignment="1">
      <alignment horizontal="center"/>
    </xf>
    <xf numFmtId="164" fontId="0" fillId="6" borderId="8" xfId="0" applyNumberFormat="1" applyFill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46" fontId="0" fillId="0" borderId="0" xfId="0" applyNumberFormat="1" applyAlignment="1">
      <alignment horizontal="center"/>
    </xf>
    <xf numFmtId="0" fontId="0" fillId="4" borderId="3" xfId="0" applyFill="1" applyBorder="1" applyAlignment="1">
      <alignment horizontal="center"/>
    </xf>
    <xf numFmtId="165" fontId="0" fillId="0" borderId="12" xfId="0" applyNumberFormat="1" applyBorder="1" applyAlignment="1">
      <alignment horizontal="center"/>
    </xf>
    <xf numFmtId="0" fontId="4" fillId="2" borderId="0" xfId="0" applyFont="1" applyFill="1" applyAlignment="1">
      <alignment horizontal="right"/>
    </xf>
    <xf numFmtId="0" fontId="4" fillId="2" borderId="0" xfId="0" applyFont="1" applyFill="1" applyAlignment="1">
      <alignment horizontal="right" vertical="center"/>
    </xf>
    <xf numFmtId="0" fontId="0" fillId="2" borderId="0" xfId="0" applyFill="1" applyAlignment="1">
      <alignment horizontal="right"/>
    </xf>
    <xf numFmtId="164" fontId="4" fillId="2" borderId="0" xfId="0" applyNumberFormat="1" applyFont="1" applyFill="1" applyAlignment="1">
      <alignment horizontal="right"/>
    </xf>
    <xf numFmtId="0" fontId="4" fillId="0" borderId="1" xfId="0" applyFont="1" applyBorder="1" applyAlignment="1">
      <alignment horizontal="center"/>
    </xf>
    <xf numFmtId="20" fontId="4" fillId="0" borderId="1" xfId="0" applyNumberFormat="1" applyFont="1" applyBorder="1" applyAlignment="1">
      <alignment horizontal="center"/>
    </xf>
    <xf numFmtId="1" fontId="4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0" fillId="2" borderId="13" xfId="0" applyFill="1" applyBorder="1" applyAlignment="1">
      <alignment horizontal="center"/>
    </xf>
    <xf numFmtId="0" fontId="0" fillId="2" borderId="14" xfId="0" applyFill="1" applyBorder="1" applyAlignment="1">
      <alignment horizontal="right"/>
    </xf>
    <xf numFmtId="0" fontId="0" fillId="13" borderId="1" xfId="0" applyFill="1" applyBorder="1" applyAlignment="1">
      <alignment horizontal="center"/>
    </xf>
    <xf numFmtId="1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166" fontId="0" fillId="7" borderId="1" xfId="0" applyNumberFormat="1" applyFill="1" applyBorder="1" applyAlignment="1">
      <alignment horizontal="center"/>
    </xf>
    <xf numFmtId="167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DB9E0"/>
      <color rgb="FFA7E8F1"/>
      <color rgb="FF705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B2:AE443"/>
  <sheetViews>
    <sheetView tabSelected="1" zoomScale="80" zoomScaleNormal="80" workbookViewId="0">
      <selection activeCell="I12" sqref="I12"/>
    </sheetView>
  </sheetViews>
  <sheetFormatPr baseColWidth="10" defaultColWidth="11.5546875" defaultRowHeight="14.4" x14ac:dyDescent="0.3"/>
  <cols>
    <col min="1" max="1" width="2.44140625" style="2" customWidth="1"/>
    <col min="2" max="2" width="9.6640625" style="2" customWidth="1"/>
    <col min="3" max="3" width="13.109375" style="2" customWidth="1"/>
    <col min="4" max="4" width="14.6640625" style="2" customWidth="1"/>
    <col min="5" max="5" width="27.88671875" style="2" customWidth="1"/>
    <col min="6" max="6" width="2.44140625" style="2" customWidth="1"/>
    <col min="7" max="7" width="8.109375" style="2" customWidth="1"/>
    <col min="8" max="8" width="9.5546875" style="2" customWidth="1"/>
    <col min="9" max="9" width="8.88671875" style="2" customWidth="1"/>
    <col min="10" max="10" width="18.44140625" style="2" customWidth="1"/>
    <col min="11" max="11" width="8.5546875" style="2" customWidth="1"/>
    <col min="12" max="13" width="7.5546875" style="2" customWidth="1"/>
    <col min="14" max="14" width="7.33203125" style="2" customWidth="1"/>
    <col min="15" max="15" width="11.6640625" style="2" customWidth="1"/>
    <col min="16" max="16" width="17.109375" style="2" customWidth="1"/>
    <col min="17" max="17" width="11.6640625" style="2" customWidth="1"/>
    <col min="18" max="18" width="3.5546875" style="2" customWidth="1"/>
    <col min="19" max="19" width="7.33203125" style="2" customWidth="1"/>
    <col min="20" max="20" width="15.33203125" style="2" customWidth="1"/>
    <col min="21" max="21" width="17.44140625" style="2" customWidth="1"/>
    <col min="22" max="22" width="13" style="1" customWidth="1"/>
    <col min="23" max="23" width="5.6640625" style="2" customWidth="1"/>
    <col min="24" max="24" width="8.109375" style="2" customWidth="1"/>
    <col min="25" max="25" width="13.88671875" style="2" customWidth="1"/>
    <col min="26" max="26" width="18.33203125" style="2" customWidth="1"/>
    <col min="27" max="27" width="13.44140625" style="2" customWidth="1"/>
    <col min="28" max="28" width="5.6640625" style="2" customWidth="1"/>
    <col min="29" max="29" width="14.88671875" style="2" customWidth="1"/>
    <col min="30" max="30" width="18.33203125" style="2" customWidth="1"/>
    <col min="31" max="31" width="13.6640625" style="2" customWidth="1"/>
    <col min="32" max="16384" width="11.5546875" style="2"/>
  </cols>
  <sheetData>
    <row r="2" spans="2:31" ht="21" x14ac:dyDescent="0.4">
      <c r="AB2" s="31"/>
    </row>
    <row r="3" spans="2:31" ht="15.6" x14ac:dyDescent="0.3">
      <c r="S3" s="109"/>
      <c r="T3" s="48" t="s">
        <v>62</v>
      </c>
      <c r="U3" s="29"/>
      <c r="V3" s="32"/>
      <c r="X3" s="30" t="s">
        <v>65</v>
      </c>
      <c r="Y3" s="29"/>
      <c r="Z3" s="29"/>
      <c r="AA3" s="61"/>
      <c r="AB3" s="20"/>
    </row>
    <row r="4" spans="2:31" x14ac:dyDescent="0.3">
      <c r="B4" s="144" t="s">
        <v>1</v>
      </c>
      <c r="C4" s="14" t="s">
        <v>2</v>
      </c>
      <c r="D4" s="14" t="s">
        <v>1</v>
      </c>
      <c r="E4" s="15"/>
      <c r="F4" s="14"/>
      <c r="G4" s="11" t="s">
        <v>25</v>
      </c>
      <c r="H4" s="12" t="s">
        <v>0</v>
      </c>
      <c r="I4" s="13" t="s">
        <v>24</v>
      </c>
      <c r="J4" s="13"/>
      <c r="K4" s="13" t="s">
        <v>41</v>
      </c>
      <c r="L4" s="98" t="s">
        <v>45</v>
      </c>
      <c r="M4" s="13" t="s">
        <v>42</v>
      </c>
      <c r="N4" s="97" t="s">
        <v>45</v>
      </c>
      <c r="O4" s="15" t="s">
        <v>64</v>
      </c>
      <c r="P4" s="11"/>
      <c r="Q4" s="11" t="s">
        <v>69</v>
      </c>
      <c r="S4" s="67" t="s">
        <v>38</v>
      </c>
      <c r="T4" s="15" t="s">
        <v>37</v>
      </c>
      <c r="U4" s="14" t="s">
        <v>43</v>
      </c>
      <c r="V4" s="14" t="s">
        <v>63</v>
      </c>
      <c r="W4" s="20"/>
      <c r="X4" s="14" t="s">
        <v>38</v>
      </c>
      <c r="Y4" s="14" t="s">
        <v>39</v>
      </c>
      <c r="Z4" s="15" t="s">
        <v>43</v>
      </c>
      <c r="AA4" s="14" t="s">
        <v>40</v>
      </c>
    </row>
    <row r="5" spans="2:31" x14ac:dyDescent="0.3">
      <c r="B5" s="141" t="s">
        <v>1</v>
      </c>
      <c r="C5" s="129" t="str">
        <f>TEXT(D5,"jjjj")</f>
        <v>mercredi</v>
      </c>
      <c r="D5" s="46">
        <f>DATE('bases de donnée'!E$2,B8,B6)</f>
        <v>42369</v>
      </c>
      <c r="E5" s="130" t="s">
        <v>28</v>
      </c>
      <c r="F5" s="35"/>
      <c r="G5" s="146">
        <v>0.375</v>
      </c>
      <c r="H5" s="146">
        <v>4.1666666666666664E-2</v>
      </c>
      <c r="I5" s="146">
        <v>4.1666666666666664E-2</v>
      </c>
      <c r="J5" s="145">
        <f>IF(AND(G5="",I5=""),"",D5+I5)</f>
        <v>42369.041666666664</v>
      </c>
      <c r="K5" s="36">
        <f>IF(OR(E5="férié travaillé",E5="travail"),(I5-G5+IF(G5&gt;I5,1)-H5),INDEX('bases de donnée'!$E$20:'bases de donnée'!$E$32,MATCH(E5,gerald2,0)))</f>
        <v>0.62500000000000011</v>
      </c>
      <c r="L5" s="16">
        <f>IF(SUM(K5-'bases de donnée'!E$7)&lt;0,0,SUM(K5-'bases de donnée'!E$7))</f>
        <v>0.20833333333333343</v>
      </c>
      <c r="M5" s="9">
        <f>IF(OR(E5="férié travaillé",E5="travail"),I5-G5+IF(G5&gt;I5,1),INDEX('bases de donnée'!$E$20:'bases de donnée'!$E$32,MATCH(E5,gerald2,0)))</f>
        <v>0.66666666666666674</v>
      </c>
      <c r="N5" s="17">
        <f>IF(SUM(M5-'bases de donnée'!E$4)&lt;0,0,SUM(M5-'bases de donnée'!E$4))</f>
        <v>0.16666666666666674</v>
      </c>
      <c r="O5" s="62">
        <f>K5</f>
        <v>0.62500000000000011</v>
      </c>
      <c r="P5" s="65">
        <f>SUM(Q5:Q11)</f>
        <v>7</v>
      </c>
      <c r="Q5" s="63">
        <f>IF(AND(G5&lt;&gt;"",I5&lt;&gt;""),1,0+OR(N(G3)&lt;N(I3),E5="récupération",E5="congé 1 jour",E5="congé 1/2 jour ",E5="congé 5h24",E5="arrêt maladie",E5="arrêt travail",E5="férié ",E5="congé parentale",E5="congé de naissance"))</f>
        <v>1</v>
      </c>
      <c r="R5" s="24"/>
      <c r="S5" s="51">
        <f>IF(SUM(MOD(I5-G5,1)-IF(I5&gt;G5,MAX(0,MIN(I5,'bases de donnée'!E$16/24)-MAX('planning '!G5,7/24)),MAX(0,'bases de donnée'!E$16/24-MAX('planning '!G5,7/24))+MAX(0,MIN('planning '!I5,'bases de donnée'!E$16/24)-7/24)))&lt;0,0,SUM(MOD('planning '!I5-'planning '!G5,1)-IF('planning '!I5&gt;'planning '!G5,MAX(0,MIN('planning '!I5,'bases de donnée'!E$16/24)-MAX('planning '!G5,7/24)),MAX(0,'bases de donnée'!E$16/24-MAX('planning '!G5,7/24))+MAX(0,MIN('planning '!I5,'bases de donnée'!E$16/24)-7/24))))</f>
        <v>0.16666666666666674</v>
      </c>
      <c r="T5" s="53"/>
      <c r="U5" s="51" t="str">
        <f>IF(E5&lt;&gt;"travail",IF(E5="férié travaillé",MOD(I5-G5,1)-H5,"00:00"),"00:00")</f>
        <v>00:00</v>
      </c>
      <c r="V5" s="52"/>
      <c r="W5" s="37"/>
      <c r="X5" s="38">
        <f t="shared" ref="X5:X11" si="0">S5</f>
        <v>0.16666666666666674</v>
      </c>
      <c r="Y5" s="25"/>
      <c r="Z5" s="39">
        <f t="shared" ref="Z5:Z10" si="1">IF(SUM(U5-X5)&lt;0,0,SUM(U5-X5))</f>
        <v>0</v>
      </c>
      <c r="AA5" s="38">
        <f t="shared" ref="AA5:AA10" si="2">IF(SUM(V5-X5-Z5)&lt;0,0,SUM(V5-X5-Z5))</f>
        <v>0</v>
      </c>
      <c r="AB5" s="37"/>
    </row>
    <row r="6" spans="2:31" x14ac:dyDescent="0.3">
      <c r="B6" s="142">
        <v>1</v>
      </c>
      <c r="C6" s="129" t="s">
        <v>6</v>
      </c>
      <c r="D6" s="34">
        <f>D5+1</f>
        <v>42370</v>
      </c>
      <c r="E6" s="130" t="s">
        <v>28</v>
      </c>
      <c r="F6" s="40"/>
      <c r="G6" s="146">
        <v>0.375</v>
      </c>
      <c r="H6" s="146">
        <v>4.1666666666666664E-2</v>
      </c>
      <c r="I6" s="146">
        <v>4.1666666666666664E-2</v>
      </c>
      <c r="J6" s="145">
        <f t="shared" ref="J6:J11" si="3">IF(AND(G6="",I6=""),"",D6+I6)</f>
        <v>42370.041666666664</v>
      </c>
      <c r="K6" s="36">
        <f>IF(OR(E6="férié travaillé",E6="travail"),(I6-G6+IF(G6&gt;I6,1)-H6),INDEX('bases de donnée'!$E$20:'bases de donnée'!$E$32,MATCH(E6,gerald2,0)))</f>
        <v>0.62500000000000011</v>
      </c>
      <c r="L6" s="16">
        <f>IF(SUM(K6-'bases de donnée'!E$7)&lt;0,0,SUM(K6-'bases de donnée'!E$7))</f>
        <v>0.20833333333333343</v>
      </c>
      <c r="M6" s="9">
        <f>IF(OR(E6="férié travaillé",E6="travail"),I6-G6+IF(G6&gt;I6,1),INDEX('bases de donnée'!$E$20:'bases de donnée'!$E$32,MATCH(E6,gerald2,0)))</f>
        <v>0.66666666666666674</v>
      </c>
      <c r="N6" s="17">
        <f>IF(SUM(M6-'bases de donnée'!E$4)&lt;0,0,SUM(M6-'bases de donnée'!E$4))</f>
        <v>0.16666666666666674</v>
      </c>
      <c r="O6" s="56">
        <f>O5+K6</f>
        <v>1.2500000000000002</v>
      </c>
      <c r="P6" s="64">
        <f>IF(SUM(P5-'bases de donnée'!E$6)&lt;0,0,SUM(P5-'bases de donnée'!E$6))</f>
        <v>1</v>
      </c>
      <c r="Q6" s="63">
        <f t="shared" ref="Q6:Q11" si="4">IF(AND(G6&lt;&gt;"",I6&lt;&gt;""),1,0+OR(N(I5)&lt;N(G5),E6="récupération",E6="congé 1 jour",E6="congé 1/2 jour ",E6="congé 5h24",E6="arrêt maladie",E6="arrêt travail",E6="férié ",E6="congé parentale",E6="congé de naissance"))</f>
        <v>1</v>
      </c>
      <c r="R6" s="24"/>
      <c r="S6" s="51">
        <f>IF(SUM(MOD(I6-G6,1)-IF(I6&gt;G6,MAX(0,MIN(I6,'bases de donnée'!E$16/24)-MAX('planning '!G6,7/24)),MAX(0,'bases de donnée'!E$16/24-MAX('planning '!G6,7/24))+MAX(0,MIN('planning '!I6,'bases de donnée'!E$16/24)-7/24)))&lt;0,0,SUM(MOD('planning '!I6-'planning '!G6,1)-IF('planning '!I6&gt;'planning '!G6,MAX(0,MIN('planning '!I6,'bases de donnée'!E$16/24)-MAX('planning '!G6,7/24)),MAX(0,'bases de donnée'!E$16/24-MAX('planning '!G6,7/24))+MAX(0,MIN('planning '!I6,'bases de donnée'!E$16/24)-7/24))))</f>
        <v>0.16666666666666674</v>
      </c>
      <c r="T6" s="54"/>
      <c r="U6" s="51" t="str">
        <f>IF(E6&lt;&gt;"travail",IF(E6="férié travaillé",MOD(I6-G6,1)-H6,"00:00"),"00:00")</f>
        <v>00:00</v>
      </c>
      <c r="V6" s="52">
        <f>IF(SUM(IF(O6&gt;('bases de donnée'!E$9*1),O6-('bases de donnée'!E$9*1),0)-V5)&lt;0,0,SUM(IF(O6&gt;('bases de donnée'!E$9*1),O6-('bases de donnée'!E$9*1),0)-V5))</f>
        <v>0</v>
      </c>
      <c r="W6" s="37"/>
      <c r="X6" s="38">
        <f t="shared" si="0"/>
        <v>0.16666666666666674</v>
      </c>
      <c r="Y6" s="33"/>
      <c r="Z6" s="39">
        <f t="shared" si="1"/>
        <v>0</v>
      </c>
      <c r="AA6" s="38">
        <f t="shared" si="2"/>
        <v>0</v>
      </c>
      <c r="AB6" s="37"/>
    </row>
    <row r="7" spans="2:31" x14ac:dyDescent="0.3">
      <c r="B7" s="141" t="s">
        <v>102</v>
      </c>
      <c r="C7" s="129" t="s">
        <v>7</v>
      </c>
      <c r="D7" s="34">
        <f t="shared" ref="D7:D11" si="5">D6+1</f>
        <v>42371</v>
      </c>
      <c r="E7" s="130" t="s">
        <v>28</v>
      </c>
      <c r="F7" s="40"/>
      <c r="G7" s="146">
        <v>0.375</v>
      </c>
      <c r="H7" s="146">
        <v>4.1666666666666664E-2</v>
      </c>
      <c r="I7" s="146">
        <v>4.1666666666666664E-2</v>
      </c>
      <c r="J7" s="145">
        <f t="shared" si="3"/>
        <v>42371.041666666664</v>
      </c>
      <c r="K7" s="36">
        <f>IF(OR(E7="férié travaillé",E7="travail"),(I7-G7+IF(G7&gt;I7,1)-H7),INDEX('bases de donnée'!$E$20:'bases de donnée'!$E$32,MATCH(E7,gerald2,0)))</f>
        <v>0.62500000000000011</v>
      </c>
      <c r="L7" s="16">
        <f>IF(SUM(K7-'bases de donnée'!E$7)&lt;0,0,SUM(K7-'bases de donnée'!E$7))</f>
        <v>0.20833333333333343</v>
      </c>
      <c r="M7" s="9">
        <f>IF(OR(E7="férié travaillé",E7="travail"),I7-G7+IF(G7&gt;I7,1),INDEX('bases de donnée'!$E$20:'bases de donnée'!$E$32,MATCH(E7,gerald2,0)))</f>
        <v>0.66666666666666674</v>
      </c>
      <c r="N7" s="17">
        <f>IF(SUM(M7-'bases de donnée'!E$4)&lt;0,0,SUM(M7-'bases de donnée'!E$4))</f>
        <v>0.16666666666666674</v>
      </c>
      <c r="O7" s="49">
        <f>O6+K7</f>
        <v>1.8750000000000004</v>
      </c>
      <c r="P7" s="66" t="s">
        <v>44</v>
      </c>
      <c r="Q7" s="63">
        <f t="shared" si="4"/>
        <v>1</v>
      </c>
      <c r="R7" s="24"/>
      <c r="S7" s="51">
        <f>IF(SUM(MOD(I7-G7,1)-IF(I7&gt;G7,MAX(0,MIN(I7,'bases de donnée'!E$16/24)-MAX('planning '!G7,7/24)),MAX(0,'bases de donnée'!E$16/24-MAX('planning '!G7,7/24))+MAX(0,MIN('planning '!I7,'bases de donnée'!E$16/24)-7/24)))&lt;0,0,SUM(MOD('planning '!I7-'planning '!G7,1)-IF('planning '!I7&gt;'planning '!G7,MAX(0,MIN('planning '!I7,'bases de donnée'!E$16/24)-MAX('planning '!G7,7/24)),MAX(0,'bases de donnée'!E$16/24-MAX('planning '!G7,7/24))+MAX(0,MIN('planning '!I7,'bases de donnée'!E$16/24)-7/24))))</f>
        <v>0.16666666666666674</v>
      </c>
      <c r="T7" s="54"/>
      <c r="U7" s="51" t="str">
        <f>IF(E7&lt;&gt;"travail",IF(E7="férié travaillé",MOD(I7-G7,1)-H7,"00:00"),"00:00")</f>
        <v>00:00</v>
      </c>
      <c r="V7" s="52">
        <f>IF(SUM(IF(O7&gt;('bases de donnée'!E$9*1),O7-('bases de donnée'!E$9*1),0)-V6)&lt;0,0,SUM(IF(O7&gt;('bases de donnée'!E$9*1),O7-('bases de donnée'!E$9*1),0)-V5-V6))</f>
        <v>0.33333333333333393</v>
      </c>
      <c r="W7" s="37"/>
      <c r="X7" s="38">
        <f t="shared" si="0"/>
        <v>0.16666666666666674</v>
      </c>
      <c r="Y7" s="33"/>
      <c r="Z7" s="39">
        <f t="shared" si="1"/>
        <v>0</v>
      </c>
      <c r="AA7" s="38">
        <f t="shared" si="2"/>
        <v>0.16666666666666718</v>
      </c>
      <c r="AB7" s="37"/>
    </row>
    <row r="8" spans="2:31" x14ac:dyDescent="0.3">
      <c r="B8" s="143">
        <v>1</v>
      </c>
      <c r="C8" s="129" t="s">
        <v>8</v>
      </c>
      <c r="D8" s="34">
        <f>D7+1</f>
        <v>42372</v>
      </c>
      <c r="E8" s="130" t="s">
        <v>28</v>
      </c>
      <c r="F8" s="40"/>
      <c r="G8" s="146">
        <v>0.375</v>
      </c>
      <c r="H8" s="146">
        <v>4.1666666666666664E-2</v>
      </c>
      <c r="I8" s="146">
        <v>4.1666666666666664E-2</v>
      </c>
      <c r="J8" s="145">
        <f t="shared" si="3"/>
        <v>42372.041666666664</v>
      </c>
      <c r="K8" s="36">
        <f>IF(OR(E8="férié travaillé",E8="travail"),(I8-G8+IF(G8&gt;I8,1)-H8),INDEX('bases de donnée'!$E$20:'bases de donnée'!$E$32,MATCH(E8,gerald2,0)))</f>
        <v>0.62500000000000011</v>
      </c>
      <c r="L8" s="16">
        <f>IF(SUM(K8-'bases de donnée'!E$7)&lt;0,0,SUM(K8-'bases de donnée'!E$7))</f>
        <v>0.20833333333333343</v>
      </c>
      <c r="M8" s="9">
        <f>IF(OR(E8="férié travaillé",E8="travail"),I8-G8+IF(G8&gt;I8,1),INDEX('bases de donnée'!$E$20:'bases de donnée'!$E$32,MATCH(E8,gerald2,0)))</f>
        <v>0.66666666666666674</v>
      </c>
      <c r="N8" s="17">
        <f>IF(SUM(M8-'bases de donnée'!E$4)&lt;0,0,SUM(M8-'bases de donnée'!E$4))</f>
        <v>0.16666666666666674</v>
      </c>
      <c r="O8" s="49">
        <f>O7+K8</f>
        <v>2.5000000000000004</v>
      </c>
      <c r="P8" s="55">
        <f>O11</f>
        <v>4.3750000000000009</v>
      </c>
      <c r="Q8" s="63">
        <f t="shared" si="4"/>
        <v>1</v>
      </c>
      <c r="R8" s="24"/>
      <c r="S8" s="51">
        <f>IF(SUM(MOD(I8-G8,1)-IF(I8&gt;G8,MAX(0,MIN(I8,'bases de donnée'!E$16/24)-MAX('planning '!G8,7/24)),MAX(0,'bases de donnée'!E$16/24-MAX('planning '!G8,7/24))+MAX(0,MIN('planning '!I8,'bases de donnée'!E$16/24)-7/24)))&lt;0,0,SUM(MOD('planning '!I8-'planning '!G8,1)-IF('planning '!I8&gt;'planning '!G8,MAX(0,MIN('planning '!I8,'bases de donnée'!E$16/24)-MAX('planning '!G8,7/24)),MAX(0,'bases de donnée'!E$16/24-MAX('planning '!G8,7/24))+MAX(0,MIN('planning '!I8,'bases de donnée'!E$16/24)-7/24))))</f>
        <v>0.16666666666666674</v>
      </c>
      <c r="T8" s="54"/>
      <c r="U8" s="51" t="str">
        <f>IF(E8&lt;&gt;"travail",IF(E8="férié travaillé",MOD(I8-G8,1)-H8,"00:00"),"00:00")</f>
        <v>00:00</v>
      </c>
      <c r="V8" s="52">
        <f>IF(SUM(IF(O8&gt;('bases de donnée'!E$9*1),O8-('bases de donnée'!E$9*1),0)-V7)&lt;0,0,SUM(IF(O8&gt;('bases de donnée'!E$9*1),O8-('bases de donnée'!E$9*1),0)-V5-V6-V7))</f>
        <v>0.625</v>
      </c>
      <c r="W8" s="37"/>
      <c r="X8" s="38">
        <f t="shared" si="0"/>
        <v>0.16666666666666674</v>
      </c>
      <c r="Y8" s="33"/>
      <c r="Z8" s="39">
        <f t="shared" si="1"/>
        <v>0</v>
      </c>
      <c r="AA8" s="38">
        <f t="shared" si="2"/>
        <v>0.45833333333333326</v>
      </c>
      <c r="AB8" s="37"/>
    </row>
    <row r="9" spans="2:31" x14ac:dyDescent="0.3">
      <c r="B9"/>
      <c r="C9" s="129" t="s">
        <v>3</v>
      </c>
      <c r="D9" s="34">
        <f t="shared" si="5"/>
        <v>42373</v>
      </c>
      <c r="E9" s="130" t="s">
        <v>28</v>
      </c>
      <c r="F9" s="40"/>
      <c r="G9" s="146">
        <v>0.375</v>
      </c>
      <c r="H9" s="146">
        <v>4.1666666666666664E-2</v>
      </c>
      <c r="I9" s="146">
        <v>4.1666666666666664E-2</v>
      </c>
      <c r="J9" s="145">
        <f t="shared" si="3"/>
        <v>42373.041666666664</v>
      </c>
      <c r="K9" s="36">
        <f>IF(OR(E9="férié travaillé",E9="travail"),(I9-G9+IF(G9&gt;I9,1)-H9),INDEX('bases de donnée'!$E$20:'bases de donnée'!$E$32,MATCH(E9,gerald2,0)))</f>
        <v>0.62500000000000011</v>
      </c>
      <c r="L9" s="16">
        <f>IF(SUM(K9-'bases de donnée'!E$7)&lt;0,0,SUM(K9-'bases de donnée'!E$7))</f>
        <v>0.20833333333333343</v>
      </c>
      <c r="M9" s="9">
        <f>IF(OR(E9="férié travaillé",E9="travail"),I9-G9+IF(G9&gt;I9,1),INDEX('bases de donnée'!$E$20:'bases de donnée'!$E$32,MATCH(E9,gerald2,0)))</f>
        <v>0.66666666666666674</v>
      </c>
      <c r="N9" s="17">
        <f>IF(SUM(M9-'bases de donnée'!E$4)&lt;0,0,SUM(M9-'bases de donnée'!E$4))</f>
        <v>0.16666666666666674</v>
      </c>
      <c r="O9" s="49">
        <f>O8+K9</f>
        <v>3.1250000000000004</v>
      </c>
      <c r="P9" s="10" t="s">
        <v>71</v>
      </c>
      <c r="Q9" s="63">
        <f t="shared" si="4"/>
        <v>1</v>
      </c>
      <c r="R9" s="24"/>
      <c r="S9" s="51">
        <f>IF(SUM(MOD(I9-G9,1)-IF(I9&gt;G9,MAX(0,MIN(I9,'bases de donnée'!E$16/24)-MAX('planning '!G9,7/24)),MAX(0,'bases de donnée'!E$16/24-MAX('planning '!G9,7/24))+MAX(0,MIN('planning '!I9,'bases de donnée'!E$16/24)-7/24)))&lt;0,0,SUM(MOD('planning '!I9-'planning '!G9,1)-IF('planning '!I9&gt;'planning '!G9,MAX(0,MIN('planning '!I9,'bases de donnée'!E$16/24)-MAX('planning '!G9,7/24)),MAX(0,'bases de donnée'!E$16/24-MAX('planning '!G9,7/24))+MAX(0,MIN('planning '!I9,'bases de donnée'!E$16/24)-7/24))))</f>
        <v>0.16666666666666674</v>
      </c>
      <c r="T9" s="54"/>
      <c r="U9" s="51" t="str">
        <f>IF(E9&lt;&gt;"travail",IF(E9="férié travaillé",MOD(I9-G9,1)-H9,"00:00"),"00:00")</f>
        <v>00:00</v>
      </c>
      <c r="V9" s="52">
        <f>IF(SUM(IF(O9&gt;('bases de donnée'!E$9*1),O9-('bases de donnée'!E$9*1),0)-V8)&lt;0,0,SUM(IF(O9&gt;('bases de donnée'!E$9*1),O9-('bases de donnée'!E$9*1),0)-V5-V6-V7-V8))</f>
        <v>0.625</v>
      </c>
      <c r="W9" s="37"/>
      <c r="X9" s="38">
        <f t="shared" si="0"/>
        <v>0.16666666666666674</v>
      </c>
      <c r="Y9" s="33"/>
      <c r="Z9" s="39">
        <f t="shared" si="1"/>
        <v>0</v>
      </c>
      <c r="AA9" s="38">
        <f t="shared" si="2"/>
        <v>0.45833333333333326</v>
      </c>
      <c r="AB9" s="37"/>
    </row>
    <row r="10" spans="2:31" x14ac:dyDescent="0.3">
      <c r="B10"/>
      <c r="C10" s="129" t="s">
        <v>4</v>
      </c>
      <c r="D10" s="34">
        <f t="shared" si="5"/>
        <v>42374</v>
      </c>
      <c r="E10" s="130" t="s">
        <v>28</v>
      </c>
      <c r="F10" s="40"/>
      <c r="G10" s="146">
        <v>0.375</v>
      </c>
      <c r="H10" s="146">
        <v>4.1666666666666664E-2</v>
      </c>
      <c r="I10" s="146">
        <v>4.1666666666666664E-2</v>
      </c>
      <c r="J10" s="145">
        <f t="shared" si="3"/>
        <v>42374.041666666664</v>
      </c>
      <c r="K10" s="36">
        <f>IF(OR(E10="férié travaillé",E10="travail"),(I10-G10+IF(G10&gt;I10,1)-H10),INDEX('bases de donnée'!$E$20:'bases de donnée'!$E$32,MATCH(E10,gerald2,0)))</f>
        <v>0.62500000000000011</v>
      </c>
      <c r="L10" s="16">
        <f>IF(SUM(K10-'bases de donnée'!E$7)&lt;0,0,SUM(K10-'bases de donnée'!E$7))</f>
        <v>0.20833333333333343</v>
      </c>
      <c r="M10" s="9">
        <f>IF(OR(E10="férié travaillé",E10="travail"),I10-G10+IF(G10&gt;I10,1),INDEX('bases de donnée'!$E$20:'bases de donnée'!$E$32,MATCH(E10,gerald2,0)))</f>
        <v>0.66666666666666674</v>
      </c>
      <c r="N10" s="17">
        <f>IF(SUM(M10-'bases de donnée'!E$4)&lt;0,0,SUM(M10-'bases de donnée'!E$4))</f>
        <v>0.16666666666666674</v>
      </c>
      <c r="O10" s="49">
        <f>O9+K10</f>
        <v>3.7500000000000004</v>
      </c>
      <c r="P10" s="41">
        <f>'bases de donnée'!E$10</f>
        <v>2</v>
      </c>
      <c r="Q10" s="63">
        <f t="shared" si="4"/>
        <v>1</v>
      </c>
      <c r="R10" s="24"/>
      <c r="S10" s="51">
        <f>IF(SUM(MOD(I10-G10,1)-IF(I10&gt;G10,MAX(0,MIN(I10,'bases de donnée'!E$16/24)-MAX('planning '!G10,7/24)),MAX(0,'bases de donnée'!E$16/24-MAX('planning '!G10,7/24))+MAX(0,MIN('planning '!I10,'bases de donnée'!E$16/24)-7/24)))&lt;0,0,SUM(MOD('planning '!I10-'planning '!G10,1)-IF('planning '!I10&gt;'planning '!G10,MAX(0,MIN('planning '!I10,'bases de donnée'!E$16/24)-MAX('planning '!G10,7/24)),MAX(0,'bases de donnée'!E$16/24-MAX('planning '!G10,7/24))+MAX(0,MIN('planning '!I10,'bases de donnée'!E$16/24)-7/24))))</f>
        <v>0.16666666666666674</v>
      </c>
      <c r="T10" s="54"/>
      <c r="U10" s="51" t="str">
        <f>IF(E10&lt;&gt;"travail",IF(E10="férié travaillé",MOD(I10-G10,1)-H10,"00:00"),"00:00")</f>
        <v>00:00</v>
      </c>
      <c r="V10" s="52">
        <f>IF(SUM(IF(O10&gt;('bases de donnée'!E$9*1),O10-('bases de donnée'!E$9*1),0)-V9)&lt;0,0,SUM(IF(O10&gt;('bases de donnée'!E$9*1),O10-('bases de donnée'!E$9*1),0)-V5-V6-V7-V8-V9))</f>
        <v>0.625</v>
      </c>
      <c r="W10" s="37"/>
      <c r="X10" s="38">
        <f t="shared" si="0"/>
        <v>0.16666666666666674</v>
      </c>
      <c r="Y10" s="26"/>
      <c r="Z10" s="39">
        <f t="shared" si="1"/>
        <v>0</v>
      </c>
      <c r="AA10" s="38">
        <f t="shared" si="2"/>
        <v>0.45833333333333326</v>
      </c>
      <c r="AB10" s="37"/>
    </row>
    <row r="11" spans="2:31" x14ac:dyDescent="0.3">
      <c r="B11"/>
      <c r="C11" s="129" t="s">
        <v>5</v>
      </c>
      <c r="D11" s="34">
        <f t="shared" si="5"/>
        <v>42375</v>
      </c>
      <c r="E11" s="130" t="s">
        <v>28</v>
      </c>
      <c r="F11" s="47"/>
      <c r="G11" s="146">
        <v>0.375</v>
      </c>
      <c r="H11" s="146">
        <v>4.1666666666666664E-2</v>
      </c>
      <c r="I11" s="146">
        <v>4.1666666666666664E-2</v>
      </c>
      <c r="J11" s="145">
        <f t="shared" si="3"/>
        <v>42375.041666666664</v>
      </c>
      <c r="K11" s="36">
        <f>IF(OR(E11="férié travaillé",E11="travail"),(I11-G11+IF(G11&gt;I11,1)-H11),INDEX('bases de donnée'!$E$20:'bases de donnée'!$E$32,MATCH(E11,gerald2,0)))</f>
        <v>0.62500000000000011</v>
      </c>
      <c r="L11" s="16">
        <f>IF(SUM(K11-'bases de donnée'!E$7)&lt;0,0,SUM(K11-'bases de donnée'!E$7))</f>
        <v>0.20833333333333343</v>
      </c>
      <c r="M11" s="9">
        <f>IF(OR(E11="férié travaillé",E11="travail"),I11-G11+IF(G11&gt;I11,1),INDEX('bases de donnée'!$E$20:'bases de donnée'!$E$32,MATCH(E11,gerald2,0)))</f>
        <v>0.66666666666666674</v>
      </c>
      <c r="N11" s="17">
        <f>IF(SUM(M11-'bases de donnée'!E$4)&lt;0,0,SUM(M11-'bases de donnée'!E$4))</f>
        <v>0.16666666666666674</v>
      </c>
      <c r="O11" s="49">
        <f>O10+K11</f>
        <v>4.3750000000000009</v>
      </c>
      <c r="P11" s="27">
        <f>IF(SUM(O11-'bases de donnée'!E$10)&lt;0,0,SUM(O11-'bases de donnée'!E$10))</f>
        <v>2.3750000000000009</v>
      </c>
      <c r="Q11" s="63">
        <f t="shared" si="4"/>
        <v>1</v>
      </c>
      <c r="R11" s="24"/>
      <c r="S11" s="51">
        <f>IF(SUM(MOD(I11-G11,1)-IF(I11&gt;G11,MAX(0,MIN(I11,'bases de donnée'!E$16/24)-MAX('planning '!G11,7/24)),MAX(0,'bases de donnée'!E$16/24-MAX('planning '!G11,7/24))+MAX(0,MIN('planning '!I11,'bases de donnée'!E$16/24)-7/24)))&lt;0,0,SUM(MOD('planning '!I11-'planning '!G11,1)-IF('planning '!I11&gt;'planning '!G11,MAX(0,MIN('planning '!I11,'bases de donnée'!E$16/24)-MAX('planning '!G11,7/24)),MAX(0,'bases de donnée'!E$16/24-MAX('planning '!G11,7/24))+MAX(0,MIN('planning '!I11,'bases de donnée'!E$16/24)-7/24))))</f>
        <v>0.16666666666666674</v>
      </c>
      <c r="T11" s="51">
        <f>K11</f>
        <v>0.62500000000000011</v>
      </c>
      <c r="U11" s="51" t="str">
        <f>IF(E11&lt;&gt;"travail",IF(E11="férié travaillé",MOD(I11-G11,1)-H11,"00:00"),"00:00")</f>
        <v>00:00</v>
      </c>
      <c r="V11" s="52">
        <f>IF(SUM(IF(O11&gt;('bases de donnée'!E$9*1),O11-('bases de donnée'!E$9*1),0)-V10)&lt;0,0,SUM(IF(O11&gt;('bases de donnée'!E$9*1),O11-('bases de donnée'!E$9*1),0)-V5-V6-V7-V8-V9-V10))</f>
        <v>0.62500000000000044</v>
      </c>
      <c r="W11" s="37"/>
      <c r="X11" s="38">
        <f t="shared" si="0"/>
        <v>0.16666666666666674</v>
      </c>
      <c r="Y11" s="38">
        <f>IF(SUM(T11-S11)&lt;0,0,SUM(T11-S11))</f>
        <v>0.45833333333333337</v>
      </c>
      <c r="Z11" s="42">
        <f>IF(SUM(U11-T11-S11)&lt;0,0,SUM(U11-T11-S11))</f>
        <v>0</v>
      </c>
      <c r="AA11" s="38">
        <f>IF(SUM(V11-S11-T11-U11)&lt;0,0,SUM(V11-S11-T11-U11))</f>
        <v>0</v>
      </c>
      <c r="AB11" s="37"/>
    </row>
    <row r="12" spans="2:31" x14ac:dyDescent="0.3">
      <c r="B12"/>
      <c r="C12" s="20"/>
      <c r="D12" s="57"/>
      <c r="E12" s="57"/>
      <c r="F12" s="20"/>
      <c r="G12" s="37"/>
      <c r="H12" s="37"/>
      <c r="I12" s="37"/>
      <c r="J12" s="37"/>
      <c r="K12" s="37"/>
      <c r="L12" s="59"/>
      <c r="M12" s="58"/>
      <c r="N12" s="58"/>
      <c r="O12" s="60"/>
      <c r="P12" s="37"/>
      <c r="S12" s="37"/>
      <c r="T12" s="37"/>
      <c r="U12" s="37"/>
      <c r="V12" s="60"/>
      <c r="W12" s="37"/>
      <c r="X12" s="37"/>
      <c r="Y12" s="37"/>
      <c r="Z12" s="37"/>
      <c r="AA12" s="37"/>
      <c r="AB12" s="37"/>
      <c r="AC12" s="37"/>
      <c r="AD12" s="37"/>
      <c r="AE12" s="37"/>
    </row>
    <row r="13" spans="2:31" x14ac:dyDescent="0.3">
      <c r="J13" s="1" t="s">
        <v>10</v>
      </c>
      <c r="K13" s="21">
        <f>SUM(-MAX(J5:J11),MIN(J18:J24))</f>
        <v>1.3333333333357587</v>
      </c>
      <c r="AB13" s="37"/>
    </row>
    <row r="14" spans="2:31" x14ac:dyDescent="0.3">
      <c r="AB14" s="37"/>
    </row>
    <row r="15" spans="2:31" x14ac:dyDescent="0.3">
      <c r="V15" s="2"/>
    </row>
    <row r="16" spans="2:31" x14ac:dyDescent="0.3">
      <c r="V16" s="2"/>
    </row>
    <row r="17" spans="2:27" x14ac:dyDescent="0.3">
      <c r="B17" s="144" t="s">
        <v>1</v>
      </c>
      <c r="C17" s="14" t="s">
        <v>2</v>
      </c>
      <c r="D17" s="14" t="s">
        <v>1</v>
      </c>
      <c r="E17" s="15"/>
      <c r="F17" s="14"/>
      <c r="G17" s="11" t="s">
        <v>25</v>
      </c>
      <c r="H17" s="12" t="s">
        <v>0</v>
      </c>
      <c r="I17" s="13" t="s">
        <v>24</v>
      </c>
      <c r="J17" s="13"/>
      <c r="K17" s="13" t="s">
        <v>41</v>
      </c>
      <c r="L17" s="98" t="s">
        <v>45</v>
      </c>
      <c r="M17" s="13" t="s">
        <v>42</v>
      </c>
      <c r="N17" s="97" t="s">
        <v>45</v>
      </c>
      <c r="O17" s="15" t="s">
        <v>64</v>
      </c>
      <c r="P17" s="11"/>
      <c r="Q17" s="11" t="s">
        <v>69</v>
      </c>
      <c r="S17" s="67" t="s">
        <v>38</v>
      </c>
      <c r="T17" s="15" t="s">
        <v>37</v>
      </c>
      <c r="U17" s="14" t="s">
        <v>43</v>
      </c>
      <c r="V17" s="14" t="s">
        <v>63</v>
      </c>
      <c r="W17" s="20"/>
      <c r="X17" s="14" t="s">
        <v>38</v>
      </c>
      <c r="Y17" s="14" t="s">
        <v>39</v>
      </c>
      <c r="Z17" s="15" t="s">
        <v>43</v>
      </c>
      <c r="AA17" s="14" t="s">
        <v>40</v>
      </c>
    </row>
    <row r="18" spans="2:27" x14ac:dyDescent="0.3">
      <c r="B18" s="141" t="s">
        <v>1</v>
      </c>
      <c r="C18" s="129" t="str">
        <f>TEXT(D18,"jjjj")</f>
        <v>mercredi</v>
      </c>
      <c r="D18" s="46">
        <f>DATE('bases de donnée'!E$2,B21,B19)</f>
        <v>42376</v>
      </c>
      <c r="E18" s="130" t="s">
        <v>28</v>
      </c>
      <c r="F18" s="35"/>
      <c r="G18" s="146">
        <v>0.375</v>
      </c>
      <c r="H18" s="146">
        <v>4.1666666666666664E-2</v>
      </c>
      <c r="I18" s="146">
        <v>4.1666666666666664E-2</v>
      </c>
      <c r="J18" s="145">
        <f>IF(AND(G18="",I18=""),"",D18+G18)</f>
        <v>42376.375</v>
      </c>
      <c r="K18" s="36">
        <f>IF(OR(E18="férié travaillé",E18="travail"),(I18-G18+IF(G18&gt;I18,1)-H18),INDEX('bases de donnée'!$E$20:'bases de donnée'!$E$32,MATCH(E18,gerald2,0)))</f>
        <v>0.62500000000000011</v>
      </c>
      <c r="L18" s="16">
        <f>IF(SUM(K18-'bases de donnée'!E$7)&lt;0,0,SUM(K18-'bases de donnée'!E$7))</f>
        <v>0.20833333333333343</v>
      </c>
      <c r="M18" s="9">
        <f>IF(OR(E18="férié travaillé",E18="travail"),I18-G18+IF(G18&gt;I18,1),INDEX('bases de donnée'!$E$20:'bases de donnée'!$E$32,MATCH(E18,gerald2,0)))</f>
        <v>0.66666666666666674</v>
      </c>
      <c r="N18" s="17">
        <f>IF(SUM(M18-'bases de donnée'!E$4)&lt;0,0,SUM(M18-'bases de donnée'!E$4))</f>
        <v>0.16666666666666674</v>
      </c>
      <c r="O18" s="62">
        <f>K18</f>
        <v>0.62500000000000011</v>
      </c>
      <c r="P18" s="65">
        <f>SUM(Q18:Q24)</f>
        <v>7</v>
      </c>
      <c r="Q18" s="63">
        <f>IF(AND(G18&lt;&gt;"",I18&lt;&gt;""),1,0+OR(N(G16)&lt;N(I16),E18="récupération",E18="congé 1 jour",E18="congé 1/2 jour ",E18="congé 5h24",E18="arrêt maladie",E18="arrêt travail",E18="férié ",E18="congé parentale",E18="congé de naissance"))</f>
        <v>1</v>
      </c>
      <c r="R18" s="24"/>
      <c r="S18" s="51">
        <f>IF(SUM(MOD(I18-G18,1)-IF(I18&gt;G18,MAX(0,MIN(I18,'bases de donnée'!E$16/24)-MAX('planning '!G18,7/24)),MAX(0,'bases de donnée'!E$16/24-MAX('planning '!G18,7/24))+MAX(0,MIN('planning '!I18,'bases de donnée'!E$16/24)-7/24)))&lt;0,0,SUM(MOD('planning '!I18-'planning '!G18,1)-IF('planning '!I18&gt;'planning '!G18,MAX(0,MIN('planning '!I18,'bases de donnée'!E$16/24)-MAX('planning '!G18,7/24)),MAX(0,'bases de donnée'!E$16/24-MAX('planning '!G18,7/24))+MAX(0,MIN('planning '!I18,'bases de donnée'!E$16/24)-7/24))))</f>
        <v>0.16666666666666674</v>
      </c>
      <c r="T18" s="53"/>
      <c r="U18" s="51" t="str">
        <f>IF(E18&lt;&gt;"travail",IF(E18="férié travaillé",MOD(I18-G18,1)-H18,"00:00"),"00:00")</f>
        <v>00:00</v>
      </c>
      <c r="V18" s="52"/>
      <c r="W18" s="37"/>
      <c r="X18" s="38">
        <f t="shared" ref="X18:X24" si="6">S18</f>
        <v>0.16666666666666674</v>
      </c>
      <c r="Y18" s="25"/>
      <c r="Z18" s="39">
        <f t="shared" ref="Z18:Z23" si="7">IF(SUM(U18-X18)&lt;0,0,SUM(U18-X18))</f>
        <v>0</v>
      </c>
      <c r="AA18" s="38">
        <f t="shared" ref="AA18:AA23" si="8">IF(SUM(V18-X18-Z18)&lt;0,0,SUM(V18-X18-Z18))</f>
        <v>0</v>
      </c>
    </row>
    <row r="19" spans="2:27" x14ac:dyDescent="0.3">
      <c r="B19" s="142">
        <v>8</v>
      </c>
      <c r="C19" s="129" t="s">
        <v>6</v>
      </c>
      <c r="D19" s="34">
        <f>D18+1</f>
        <v>42377</v>
      </c>
      <c r="E19" s="130" t="s">
        <v>28</v>
      </c>
      <c r="F19" s="40"/>
      <c r="G19" s="146">
        <v>0.375</v>
      </c>
      <c r="H19" s="146">
        <v>4.1666666666666664E-2</v>
      </c>
      <c r="I19" s="146">
        <v>0.70833333333333337</v>
      </c>
      <c r="J19" s="145">
        <f t="shared" ref="J19:J24" si="9">IF(AND(G19="",I19=""),"",D19+I19)</f>
        <v>42377.708333333336</v>
      </c>
      <c r="K19" s="36">
        <f>IF(OR(E19="férié travaillé",E19="travail"),(I19-G19+IF(G19&gt;I19,1)-H19),INDEX('bases de donnée'!$E$20:'bases de donnée'!$E$32,MATCH(E19,gerald2,0)))</f>
        <v>0.29166666666666669</v>
      </c>
      <c r="L19" s="16">
        <f>IF(SUM(K19-'bases de donnée'!E$7)&lt;0,0,SUM(K19-'bases de donnée'!E$7))</f>
        <v>0</v>
      </c>
      <c r="M19" s="9">
        <f>IF(OR(E19="férié travaillé",E19="travail"),I19-G19+IF(G19&gt;I19,1),INDEX('bases de donnée'!$E$20:'bases de donnée'!$E$32,MATCH(E19,gerald2,0)))</f>
        <v>0.33333333333333337</v>
      </c>
      <c r="N19" s="17">
        <f>IF(SUM(M19-'bases de donnée'!E$4)&lt;0,0,SUM(M19-'bases de donnée'!E$4))</f>
        <v>0</v>
      </c>
      <c r="O19" s="56">
        <f>O18+K19</f>
        <v>0.91666666666666674</v>
      </c>
      <c r="P19" s="64">
        <f>IF(SUM(P18-'bases de donnée'!E$6)&lt;0,0,SUM(P18-'bases de donnée'!E$6))</f>
        <v>1</v>
      </c>
      <c r="Q19" s="63">
        <f t="shared" ref="Q19:Q24" si="10">IF(AND(G19&lt;&gt;"",I19&lt;&gt;""),1,0+OR(N(I18)&lt;N(G18),E19="récupération",E19="congé 1 jour",E19="congé 1/2 jour ",E19="congé 5h24",E19="arrêt maladie",E19="arrêt travail",E19="férié ",E19="congé parentale",E19="congé de naissance"))</f>
        <v>1</v>
      </c>
      <c r="R19" s="24"/>
      <c r="S19" s="51">
        <f>IF(SUM(MOD(I19-G19,1)-IF(I19&gt;G19,MAX(0,MIN(I19,'bases de donnée'!E$16/24)-MAX('planning '!G19,7/24)),MAX(0,'bases de donnée'!E$16/24-MAX('planning '!G19,7/24))+MAX(0,MIN('planning '!I19,'bases de donnée'!E$16/24)-7/24)))&lt;0,0,SUM(MOD('planning '!I19-'planning '!G19,1)-IF('planning '!I19&gt;'planning '!G19,MAX(0,MIN('planning '!I19,'bases de donnée'!E$16/24)-MAX('planning '!G19,7/24)),MAX(0,'bases de donnée'!E$16/24-MAX('planning '!G19,7/24))+MAX(0,MIN('planning '!I19,'bases de donnée'!E$16/24)-7/24))))</f>
        <v>0</v>
      </c>
      <c r="T19" s="54"/>
      <c r="U19" s="51" t="str">
        <f>IF(E19&lt;&gt;"travail",IF(E19="férié travaillé",MOD(I19-G19,1)-H19,"00:00"),"00:00")</f>
        <v>00:00</v>
      </c>
      <c r="V19" s="52">
        <f>IF(SUM(IF(O19&gt;('bases de donnée'!E$9*1),O19-('bases de donnée'!E$9*1),0)-V18)&lt;0,0,SUM(IF(O19&gt;('bases de donnée'!E$9*1),O19-('bases de donnée'!E$9*1),0)-V18))</f>
        <v>0</v>
      </c>
      <c r="W19" s="37"/>
      <c r="X19" s="38">
        <f t="shared" si="6"/>
        <v>0</v>
      </c>
      <c r="Y19" s="33"/>
      <c r="Z19" s="39">
        <f t="shared" si="7"/>
        <v>0</v>
      </c>
      <c r="AA19" s="38">
        <f t="shared" si="8"/>
        <v>0</v>
      </c>
    </row>
    <row r="20" spans="2:27" x14ac:dyDescent="0.3">
      <c r="B20" s="141" t="s">
        <v>102</v>
      </c>
      <c r="C20" s="129" t="s">
        <v>7</v>
      </c>
      <c r="D20" s="34">
        <f t="shared" ref="D20:D24" si="11">D19+1</f>
        <v>42378</v>
      </c>
      <c r="E20" s="130" t="s">
        <v>28</v>
      </c>
      <c r="F20" s="40"/>
      <c r="G20" s="146">
        <v>0.375</v>
      </c>
      <c r="H20" s="146">
        <v>4.1666666666666664E-2</v>
      </c>
      <c r="I20" s="146">
        <v>0.70833333333333337</v>
      </c>
      <c r="J20" s="145">
        <f t="shared" si="9"/>
        <v>42378.708333333336</v>
      </c>
      <c r="K20" s="36">
        <f>IF(OR(E20="férié travaillé",E20="travail"),(I20-G20+IF(G20&gt;I20,1)-H20),INDEX('bases de donnée'!$E$20:'bases de donnée'!$E$32,MATCH(E20,gerald2,0)))</f>
        <v>0.29166666666666669</v>
      </c>
      <c r="L20" s="16">
        <f>IF(SUM(K20-'bases de donnée'!E$7)&lt;0,0,SUM(K20-'bases de donnée'!E$7))</f>
        <v>0</v>
      </c>
      <c r="M20" s="9">
        <f>IF(OR(E20="férié travaillé",E20="travail"),I20-G20+IF(G20&gt;I20,1),INDEX('bases de donnée'!$E$20:'bases de donnée'!$E$32,MATCH(E20,gerald2,0)))</f>
        <v>0.33333333333333337</v>
      </c>
      <c r="N20" s="17">
        <f>IF(SUM(M20-'bases de donnée'!E$4)&lt;0,0,SUM(M20-'bases de donnée'!E$4))</f>
        <v>0</v>
      </c>
      <c r="O20" s="49">
        <f>O19+K20</f>
        <v>1.2083333333333335</v>
      </c>
      <c r="P20" s="66" t="s">
        <v>44</v>
      </c>
      <c r="Q20" s="63">
        <f t="shared" si="10"/>
        <v>1</v>
      </c>
      <c r="R20" s="24"/>
      <c r="S20" s="51">
        <f>IF(SUM(MOD(I20-G20,1)-IF(I20&gt;G20,MAX(0,MIN(I20,'bases de donnée'!E$16/24)-MAX('planning '!G20,7/24)),MAX(0,'bases de donnée'!E$16/24-MAX('planning '!G20,7/24))+MAX(0,MIN('planning '!I20,'bases de donnée'!E$16/24)-7/24)))&lt;0,0,SUM(MOD('planning '!I20-'planning '!G20,1)-IF('planning '!I20&gt;'planning '!G20,MAX(0,MIN('planning '!I20,'bases de donnée'!E$16/24)-MAX('planning '!G20,7/24)),MAX(0,'bases de donnée'!E$16/24-MAX('planning '!G20,7/24))+MAX(0,MIN('planning '!I20,'bases de donnée'!E$16/24)-7/24))))</f>
        <v>0</v>
      </c>
      <c r="T20" s="54"/>
      <c r="U20" s="51" t="str">
        <f>IF(E20&lt;&gt;"travail",IF(E20="férié travaillé",MOD(I20-G20,1)-H20,"00:00"),"00:00")</f>
        <v>00:00</v>
      </c>
      <c r="V20" s="52">
        <f>IF(SUM(IF(O20&gt;('bases de donnée'!E$9*1),O20-('bases de donnée'!E$9*1),0)-V19)&lt;0,0,SUM(IF(O20&gt;('bases de donnée'!E$9*1),O20-('bases de donnée'!E$9*1),0)-V18-V19))</f>
        <v>0</v>
      </c>
      <c r="W20" s="37"/>
      <c r="X20" s="38">
        <f t="shared" si="6"/>
        <v>0</v>
      </c>
      <c r="Y20" s="33"/>
      <c r="Z20" s="39">
        <f t="shared" si="7"/>
        <v>0</v>
      </c>
      <c r="AA20" s="38">
        <f t="shared" si="8"/>
        <v>0</v>
      </c>
    </row>
    <row r="21" spans="2:27" x14ac:dyDescent="0.3">
      <c r="B21" s="143">
        <v>1</v>
      </c>
      <c r="C21" s="129" t="s">
        <v>8</v>
      </c>
      <c r="D21" s="34">
        <f>D20+1</f>
        <v>42379</v>
      </c>
      <c r="E21" s="130" t="s">
        <v>28</v>
      </c>
      <c r="F21" s="40"/>
      <c r="G21" s="146">
        <v>0.375</v>
      </c>
      <c r="H21" s="146">
        <v>4.1666666666666664E-2</v>
      </c>
      <c r="I21" s="146">
        <v>0.70833333333333337</v>
      </c>
      <c r="J21" s="145">
        <f t="shared" si="9"/>
        <v>42379.708333333336</v>
      </c>
      <c r="K21" s="36">
        <f>IF(OR(E21="férié travaillé",E21="travail"),(I21-G21+IF(G21&gt;I21,1)-H21),INDEX('bases de donnée'!$E$20:'bases de donnée'!$E$32,MATCH(E21,gerald2,0)))</f>
        <v>0.29166666666666669</v>
      </c>
      <c r="L21" s="16">
        <f>IF(SUM(K21-'bases de donnée'!E$7)&lt;0,0,SUM(K21-'bases de donnée'!E$7))</f>
        <v>0</v>
      </c>
      <c r="M21" s="9">
        <f>IF(OR(E21="férié travaillé",E21="travail"),I21-G21+IF(G21&gt;I21,1),INDEX('bases de donnée'!$E$20:'bases de donnée'!$E$32,MATCH(E21,gerald2,0)))</f>
        <v>0.33333333333333337</v>
      </c>
      <c r="N21" s="17">
        <f>IF(SUM(M21-'bases de donnée'!E$4)&lt;0,0,SUM(M21-'bases de donnée'!E$4))</f>
        <v>0</v>
      </c>
      <c r="O21" s="49">
        <f>O20+K21</f>
        <v>1.5000000000000002</v>
      </c>
      <c r="P21" s="55">
        <f>O24</f>
        <v>2.791666666666667</v>
      </c>
      <c r="Q21" s="63">
        <f t="shared" si="10"/>
        <v>1</v>
      </c>
      <c r="R21" s="24"/>
      <c r="S21" s="51">
        <f>IF(SUM(MOD(I21-G21,1)-IF(I21&gt;G21,MAX(0,MIN(I21,'bases de donnée'!E$16/24)-MAX('planning '!G21,7/24)),MAX(0,'bases de donnée'!E$16/24-MAX('planning '!G21,7/24))+MAX(0,MIN('planning '!I21,'bases de donnée'!E$16/24)-7/24)))&lt;0,0,SUM(MOD('planning '!I21-'planning '!G21,1)-IF('planning '!I21&gt;'planning '!G21,MAX(0,MIN('planning '!I21,'bases de donnée'!E$16/24)-MAX('planning '!G21,7/24)),MAX(0,'bases de donnée'!E$16/24-MAX('planning '!G21,7/24))+MAX(0,MIN('planning '!I21,'bases de donnée'!E$16/24)-7/24))))</f>
        <v>0</v>
      </c>
      <c r="T21" s="54"/>
      <c r="U21" s="51" t="str">
        <f>IF(E21&lt;&gt;"travail",IF(E21="férié travaillé",MOD(I21-G21,1)-H21,"00:00"),"00:00")</f>
        <v>00:00</v>
      </c>
      <c r="V21" s="52">
        <f>IF(SUM(IF(O21&gt;('bases de donnée'!E$9*1),O21-('bases de donnée'!E$9*1),0)-V20)&lt;0,0,SUM(IF(O21&gt;('bases de donnée'!E$9*1),O21-('bases de donnée'!E$9*1),0)-V18-V19-V20))</f>
        <v>0</v>
      </c>
      <c r="W21" s="37"/>
      <c r="X21" s="38">
        <f t="shared" si="6"/>
        <v>0</v>
      </c>
      <c r="Y21" s="33"/>
      <c r="Z21" s="39">
        <f t="shared" si="7"/>
        <v>0</v>
      </c>
      <c r="AA21" s="38">
        <f t="shared" si="8"/>
        <v>0</v>
      </c>
    </row>
    <row r="22" spans="2:27" x14ac:dyDescent="0.3">
      <c r="B22"/>
      <c r="C22" s="129" t="s">
        <v>3</v>
      </c>
      <c r="D22" s="34">
        <f t="shared" si="11"/>
        <v>42380</v>
      </c>
      <c r="E22" s="130" t="s">
        <v>28</v>
      </c>
      <c r="F22" s="40"/>
      <c r="G22" s="146">
        <v>0.375</v>
      </c>
      <c r="H22" s="146">
        <v>4.1666666666666664E-2</v>
      </c>
      <c r="I22" s="146">
        <v>4.1666666666666664E-2</v>
      </c>
      <c r="J22" s="145">
        <f t="shared" si="9"/>
        <v>42380.041666666664</v>
      </c>
      <c r="K22" s="36">
        <f>IF(OR(E22="férié travaillé",E22="travail"),(I22-G22+IF(G22&gt;I22,1)-H22),INDEX('bases de donnée'!$E$20:'bases de donnée'!$E$32,MATCH(E22,gerald2,0)))</f>
        <v>0.62500000000000011</v>
      </c>
      <c r="L22" s="16">
        <f>IF(SUM(K22-'bases de donnée'!E$7)&lt;0,0,SUM(K22-'bases de donnée'!E$7))</f>
        <v>0.20833333333333343</v>
      </c>
      <c r="M22" s="9">
        <f>IF(OR(E22="férié travaillé",E22="travail"),I22-G22+IF(G22&gt;I22,1),INDEX('bases de donnée'!$E$20:'bases de donnée'!$E$32,MATCH(E22,gerald2,0)))</f>
        <v>0.66666666666666674</v>
      </c>
      <c r="N22" s="17">
        <f>IF(SUM(M22-'bases de donnée'!E$4)&lt;0,0,SUM(M22-'bases de donnée'!E$4))</f>
        <v>0.16666666666666674</v>
      </c>
      <c r="O22" s="49">
        <f>O21+K22</f>
        <v>2.1250000000000004</v>
      </c>
      <c r="P22" s="10" t="s">
        <v>71</v>
      </c>
      <c r="Q22" s="63">
        <f t="shared" si="10"/>
        <v>1</v>
      </c>
      <c r="R22" s="24"/>
      <c r="S22" s="51">
        <f>IF(SUM(MOD(I22-G22,1)-IF(I22&gt;G22,MAX(0,MIN(I22,'bases de donnée'!E$16/24)-MAX('planning '!G22,7/24)),MAX(0,'bases de donnée'!E$16/24-MAX('planning '!G22,7/24))+MAX(0,MIN('planning '!I22,'bases de donnée'!E$16/24)-7/24)))&lt;0,0,SUM(MOD('planning '!I22-'planning '!G22,1)-IF('planning '!I22&gt;'planning '!G22,MAX(0,MIN('planning '!I22,'bases de donnée'!E$16/24)-MAX('planning '!G22,7/24)),MAX(0,'bases de donnée'!E$16/24-MAX('planning '!G22,7/24))+MAX(0,MIN('planning '!I22,'bases de donnée'!E$16/24)-7/24))))</f>
        <v>0.16666666666666674</v>
      </c>
      <c r="T22" s="54"/>
      <c r="U22" s="51" t="str">
        <f>IF(E22&lt;&gt;"travail",IF(E22="férié travaillé",MOD(I22-G22,1)-H22,"00:00"),"00:00")</f>
        <v>00:00</v>
      </c>
      <c r="V22" s="52">
        <f>IF(SUM(IF(O22&gt;('bases de donnée'!E$9*1),O22-('bases de donnée'!E$9*1),0)-V21)&lt;0,0,SUM(IF(O22&gt;('bases de donnée'!E$9*1),O22-('bases de donnée'!E$9*1),0)-V18-V19-V20-V21))</f>
        <v>0.58333333333333393</v>
      </c>
      <c r="W22" s="37"/>
      <c r="X22" s="38">
        <f t="shared" si="6"/>
        <v>0.16666666666666674</v>
      </c>
      <c r="Y22" s="33"/>
      <c r="Z22" s="39">
        <f t="shared" si="7"/>
        <v>0</v>
      </c>
      <c r="AA22" s="38">
        <f t="shared" si="8"/>
        <v>0.41666666666666718</v>
      </c>
    </row>
    <row r="23" spans="2:27" x14ac:dyDescent="0.3">
      <c r="B23"/>
      <c r="C23" s="129" t="s">
        <v>4</v>
      </c>
      <c r="D23" s="34">
        <f t="shared" si="11"/>
        <v>42381</v>
      </c>
      <c r="E23" s="130" t="s">
        <v>28</v>
      </c>
      <c r="F23" s="40"/>
      <c r="G23" s="146">
        <v>0.375</v>
      </c>
      <c r="H23" s="146">
        <v>4.1666666666666664E-2</v>
      </c>
      <c r="I23" s="146">
        <v>4.1666666666666664E-2</v>
      </c>
      <c r="J23" s="145">
        <f t="shared" si="9"/>
        <v>42381.041666666664</v>
      </c>
      <c r="K23" s="36">
        <f>IF(OR(E23="férié travaillé",E23="travail"),(I23-G23+IF(G23&gt;I23,1)-H23),INDEX('bases de donnée'!$E$20:'bases de donnée'!$E$32,MATCH(E23,gerald2,0)))</f>
        <v>0.62500000000000011</v>
      </c>
      <c r="L23" s="16">
        <f>IF(SUM(K23-'bases de donnée'!E$7)&lt;0,0,SUM(K23-'bases de donnée'!E$7))</f>
        <v>0.20833333333333343</v>
      </c>
      <c r="M23" s="9">
        <f>IF(OR(E23="férié travaillé",E23="travail"),I23-G23+IF(G23&gt;I23,1),INDEX('bases de donnée'!$E$20:'bases de donnée'!$E$32,MATCH(E23,gerald2,0)))</f>
        <v>0.66666666666666674</v>
      </c>
      <c r="N23" s="17">
        <f>IF(SUM(M23-'bases de donnée'!E$4)&lt;0,0,SUM(M23-'bases de donnée'!E$4))</f>
        <v>0.16666666666666674</v>
      </c>
      <c r="O23" s="49">
        <f>O22+K23</f>
        <v>2.7500000000000004</v>
      </c>
      <c r="P23" s="41">
        <f>'bases de donnée'!E$10</f>
        <v>2</v>
      </c>
      <c r="Q23" s="63">
        <f t="shared" si="10"/>
        <v>1</v>
      </c>
      <c r="R23" s="24"/>
      <c r="S23" s="51">
        <f>IF(SUM(MOD(I23-G23,1)-IF(I23&gt;G23,MAX(0,MIN(I23,'bases de donnée'!E$16/24)-MAX('planning '!G23,7/24)),MAX(0,'bases de donnée'!E$16/24-MAX('planning '!G23,7/24))+MAX(0,MIN('planning '!I23,'bases de donnée'!E$16/24)-7/24)))&lt;0,0,SUM(MOD('planning '!I23-'planning '!G23,1)-IF('planning '!I23&gt;'planning '!G23,MAX(0,MIN('planning '!I23,'bases de donnée'!E$16/24)-MAX('planning '!G23,7/24)),MAX(0,'bases de donnée'!E$16/24-MAX('planning '!G23,7/24))+MAX(0,MIN('planning '!I23,'bases de donnée'!E$16/24)-7/24))))</f>
        <v>0.16666666666666674</v>
      </c>
      <c r="T23" s="54"/>
      <c r="U23" s="51" t="str">
        <f>IF(E23&lt;&gt;"travail",IF(E23="férié travaillé",MOD(I23-G23,1)-H23,"00:00"),"00:00")</f>
        <v>00:00</v>
      </c>
      <c r="V23" s="52">
        <f>IF(SUM(IF(O23&gt;('bases de donnée'!E$9*1),O23-('bases de donnée'!E$9*1),0)-V22)&lt;0,0,SUM(IF(O23&gt;('bases de donnée'!E$9*1),O23-('bases de donnée'!E$9*1),0)-V18-V19-V20-V21-V22))</f>
        <v>0.625</v>
      </c>
      <c r="W23" s="37"/>
      <c r="X23" s="38">
        <f t="shared" si="6"/>
        <v>0.16666666666666674</v>
      </c>
      <c r="Y23" s="26"/>
      <c r="Z23" s="39">
        <f t="shared" si="7"/>
        <v>0</v>
      </c>
      <c r="AA23" s="38">
        <f t="shared" si="8"/>
        <v>0.45833333333333326</v>
      </c>
    </row>
    <row r="24" spans="2:27" x14ac:dyDescent="0.3">
      <c r="B24"/>
      <c r="C24" s="129" t="s">
        <v>5</v>
      </c>
      <c r="D24" s="34">
        <f t="shared" si="11"/>
        <v>42382</v>
      </c>
      <c r="E24" s="130" t="s">
        <v>28</v>
      </c>
      <c r="F24" s="47"/>
      <c r="G24" s="146">
        <v>0.54166666666666663</v>
      </c>
      <c r="H24" s="146"/>
      <c r="I24" s="146">
        <v>0.58333333333333337</v>
      </c>
      <c r="J24" s="145">
        <f t="shared" si="9"/>
        <v>42382.583333333336</v>
      </c>
      <c r="K24" s="36">
        <f>IF(OR(E24="férié travaillé",E24="travail"),(I24-G24+IF(G24&gt;I24,1)-H24),INDEX('bases de donnée'!$E$20:'bases de donnée'!$E$32,MATCH(E24,gerald2,0)))</f>
        <v>4.1666666666666741E-2</v>
      </c>
      <c r="L24" s="16">
        <f>IF(SUM(K24-'bases de donnée'!E$7)&lt;0,0,SUM(K24-'bases de donnée'!E$7))</f>
        <v>0</v>
      </c>
      <c r="M24" s="9">
        <f>IF(OR(E24="férié travaillé",E24="travail"),I24-G24+IF(G24&gt;I24,1),INDEX('bases de donnée'!$E$20:'bases de donnée'!$E$32,MATCH(E24,gerald2,0)))</f>
        <v>4.1666666666666741E-2</v>
      </c>
      <c r="N24" s="17">
        <f>IF(SUM(M24-'bases de donnée'!E$4)&lt;0,0,SUM(M24-'bases de donnée'!E$4))</f>
        <v>0</v>
      </c>
      <c r="O24" s="49">
        <f>O23+K24</f>
        <v>2.791666666666667</v>
      </c>
      <c r="P24" s="27">
        <f>IF(SUM(O24-'bases de donnée'!E$10)&lt;0,0,SUM(O24-'bases de donnée'!E$10))</f>
        <v>0.79166666666666696</v>
      </c>
      <c r="Q24" s="63">
        <f t="shared" si="10"/>
        <v>1</v>
      </c>
      <c r="R24" s="24"/>
      <c r="S24" s="51">
        <f>IF(SUM(MOD(I24-G24,1)-IF(I24&gt;G24,MAX(0,MIN(I24,'bases de donnée'!E$16/24)-MAX('planning '!G24,7/24)),MAX(0,'bases de donnée'!E$16/24-MAX('planning '!G24,7/24))+MAX(0,MIN('planning '!I24,'bases de donnée'!E$16/24)-7/24)))&lt;0,0,SUM(MOD('planning '!I24-'planning '!G24,1)-IF('planning '!I24&gt;'planning '!G24,MAX(0,MIN('planning '!I24,'bases de donnée'!E$16/24)-MAX('planning '!G24,7/24)),MAX(0,'bases de donnée'!E$16/24-MAX('planning '!G24,7/24))+MAX(0,MIN('planning '!I24,'bases de donnée'!E$16/24)-7/24))))</f>
        <v>0</v>
      </c>
      <c r="T24" s="51">
        <f>K24</f>
        <v>4.1666666666666741E-2</v>
      </c>
      <c r="U24" s="51" t="str">
        <f>IF(E24&lt;&gt;"travail",IF(E24="férié travaillé",MOD(I24-G24,1)-H24,"00:00"),"00:00")</f>
        <v>00:00</v>
      </c>
      <c r="V24" s="52">
        <f>IF(SUM(IF(O24&gt;('bases de donnée'!E$9*1),O24-('bases de donnée'!E$9*1),0)-V23)&lt;0,0,SUM(IF(O24&gt;('bases de donnée'!E$9*1),O24-('bases de donnée'!E$9*1),0)-V18-V19-V20-V21-V22-V23))</f>
        <v>4.1666666666666519E-2</v>
      </c>
      <c r="W24" s="37"/>
      <c r="X24" s="38">
        <f t="shared" si="6"/>
        <v>0</v>
      </c>
      <c r="Y24" s="38">
        <f>IF(SUM(T24-S24)&lt;0,0,SUM(T24-S24))</f>
        <v>4.1666666666666741E-2</v>
      </c>
      <c r="Z24" s="42">
        <f>IF(SUM(U24-T24-S24)&lt;0,0,SUM(U24-T24-S24))</f>
        <v>0</v>
      </c>
      <c r="AA24" s="38">
        <f>IF(SUM(V24-S24-T24-U24)&lt;0,0,SUM(V24-S24-T24-U24))</f>
        <v>0</v>
      </c>
    </row>
    <row r="25" spans="2:27" x14ac:dyDescent="0.3">
      <c r="B25"/>
      <c r="C25" s="20"/>
      <c r="D25" s="57"/>
      <c r="E25" s="57"/>
      <c r="F25" s="20"/>
      <c r="G25" s="37"/>
      <c r="H25" s="37"/>
      <c r="I25" s="37"/>
      <c r="J25" s="37"/>
      <c r="K25" s="37"/>
      <c r="L25" s="59"/>
      <c r="M25" s="58"/>
      <c r="N25" s="58"/>
      <c r="O25" s="60"/>
      <c r="P25" s="37"/>
      <c r="S25" s="37"/>
      <c r="T25" s="37"/>
      <c r="U25" s="37"/>
      <c r="V25" s="60"/>
      <c r="W25" s="37"/>
      <c r="X25" s="37"/>
      <c r="Y25" s="37"/>
      <c r="Z25" s="37"/>
      <c r="AA25" s="37"/>
    </row>
    <row r="26" spans="2:27" x14ac:dyDescent="0.3">
      <c r="J26" s="1"/>
      <c r="K26" s="21"/>
    </row>
    <row r="27" spans="2:27" x14ac:dyDescent="0.3">
      <c r="V27" s="2"/>
    </row>
    <row r="28" spans="2:27" x14ac:dyDescent="0.3">
      <c r="V28" s="2"/>
    </row>
    <row r="29" spans="2:27" x14ac:dyDescent="0.3">
      <c r="V29" s="2"/>
    </row>
    <row r="30" spans="2:27" x14ac:dyDescent="0.3">
      <c r="V30" s="2"/>
    </row>
    <row r="31" spans="2:27" x14ac:dyDescent="0.3">
      <c r="V31" s="2"/>
    </row>
    <row r="32" spans="2:27" x14ac:dyDescent="0.3">
      <c r="V32" s="2"/>
    </row>
    <row r="33" spans="22:22" x14ac:dyDescent="0.3">
      <c r="V33" s="2"/>
    </row>
    <row r="34" spans="22:22" x14ac:dyDescent="0.3">
      <c r="V34" s="2"/>
    </row>
    <row r="35" spans="22:22" x14ac:dyDescent="0.3">
      <c r="V35" s="2"/>
    </row>
    <row r="36" spans="22:22" x14ac:dyDescent="0.3">
      <c r="V36" s="2"/>
    </row>
    <row r="37" spans="22:22" x14ac:dyDescent="0.3">
      <c r="V37" s="2"/>
    </row>
    <row r="38" spans="22:22" x14ac:dyDescent="0.3">
      <c r="V38" s="2"/>
    </row>
    <row r="39" spans="22:22" x14ac:dyDescent="0.3">
      <c r="V39" s="2"/>
    </row>
    <row r="40" spans="22:22" x14ac:dyDescent="0.3">
      <c r="V40" s="2"/>
    </row>
    <row r="41" spans="22:22" x14ac:dyDescent="0.3">
      <c r="V41" s="2"/>
    </row>
    <row r="42" spans="22:22" x14ac:dyDescent="0.3">
      <c r="V42" s="2"/>
    </row>
    <row r="43" spans="22:22" x14ac:dyDescent="0.3">
      <c r="V43" s="2"/>
    </row>
    <row r="44" spans="22:22" x14ac:dyDescent="0.3">
      <c r="V44" s="2"/>
    </row>
    <row r="45" spans="22:22" x14ac:dyDescent="0.3">
      <c r="V45" s="2"/>
    </row>
    <row r="46" spans="22:22" x14ac:dyDescent="0.3">
      <c r="V46" s="2"/>
    </row>
    <row r="47" spans="22:22" x14ac:dyDescent="0.3">
      <c r="V47" s="2"/>
    </row>
    <row r="48" spans="22:22" x14ac:dyDescent="0.3">
      <c r="V48" s="2"/>
    </row>
    <row r="49" spans="22:22" x14ac:dyDescent="0.3">
      <c r="V49" s="2"/>
    </row>
    <row r="50" spans="22:22" x14ac:dyDescent="0.3">
      <c r="V50" s="2"/>
    </row>
    <row r="51" spans="22:22" x14ac:dyDescent="0.3">
      <c r="V51" s="2"/>
    </row>
    <row r="52" spans="22:22" x14ac:dyDescent="0.3">
      <c r="V52" s="2"/>
    </row>
    <row r="53" spans="22:22" x14ac:dyDescent="0.3">
      <c r="V53" s="2"/>
    </row>
    <row r="54" spans="22:22" x14ac:dyDescent="0.3">
      <c r="V54" s="2"/>
    </row>
    <row r="55" spans="22:22" x14ac:dyDescent="0.3">
      <c r="V55" s="2"/>
    </row>
    <row r="56" spans="22:22" x14ac:dyDescent="0.3">
      <c r="V56" s="2"/>
    </row>
    <row r="57" spans="22:22" x14ac:dyDescent="0.3">
      <c r="V57" s="2"/>
    </row>
    <row r="58" spans="22:22" x14ac:dyDescent="0.3">
      <c r="V58" s="2"/>
    </row>
    <row r="59" spans="22:22" x14ac:dyDescent="0.3">
      <c r="V59" s="2"/>
    </row>
    <row r="60" spans="22:22" x14ac:dyDescent="0.3">
      <c r="V60" s="2"/>
    </row>
    <row r="61" spans="22:22" x14ac:dyDescent="0.3">
      <c r="V61" s="2"/>
    </row>
    <row r="62" spans="22:22" x14ac:dyDescent="0.3">
      <c r="V62" s="2"/>
    </row>
    <row r="63" spans="22:22" x14ac:dyDescent="0.3">
      <c r="V63" s="2"/>
    </row>
    <row r="64" spans="22:22" x14ac:dyDescent="0.3">
      <c r="V64" s="2"/>
    </row>
    <row r="65" spans="22:22" x14ac:dyDescent="0.3">
      <c r="V65" s="2"/>
    </row>
    <row r="66" spans="22:22" x14ac:dyDescent="0.3">
      <c r="V66" s="2"/>
    </row>
    <row r="67" spans="22:22" x14ac:dyDescent="0.3">
      <c r="V67" s="2"/>
    </row>
    <row r="68" spans="22:22" x14ac:dyDescent="0.3">
      <c r="V68" s="2"/>
    </row>
    <row r="69" spans="22:22" x14ac:dyDescent="0.3">
      <c r="V69" s="2"/>
    </row>
    <row r="70" spans="22:22" x14ac:dyDescent="0.3">
      <c r="V70" s="2"/>
    </row>
    <row r="71" spans="22:22" x14ac:dyDescent="0.3">
      <c r="V71" s="2"/>
    </row>
    <row r="72" spans="22:22" x14ac:dyDescent="0.3">
      <c r="V72" s="2"/>
    </row>
    <row r="73" spans="22:22" x14ac:dyDescent="0.3">
      <c r="V73" s="2"/>
    </row>
    <row r="74" spans="22:22" x14ac:dyDescent="0.3">
      <c r="V74" s="2"/>
    </row>
    <row r="75" spans="22:22" x14ac:dyDescent="0.3">
      <c r="V75" s="2"/>
    </row>
    <row r="76" spans="22:22" x14ac:dyDescent="0.3">
      <c r="V76" s="2"/>
    </row>
    <row r="77" spans="22:22" x14ac:dyDescent="0.3">
      <c r="V77" s="2"/>
    </row>
    <row r="78" spans="22:22" x14ac:dyDescent="0.3">
      <c r="V78" s="2"/>
    </row>
    <row r="79" spans="22:22" x14ac:dyDescent="0.3">
      <c r="V79" s="2"/>
    </row>
    <row r="80" spans="22:22" x14ac:dyDescent="0.3">
      <c r="V80" s="2"/>
    </row>
    <row r="81" spans="22:22" x14ac:dyDescent="0.3">
      <c r="V81" s="2"/>
    </row>
    <row r="82" spans="22:22" x14ac:dyDescent="0.3">
      <c r="V82" s="2"/>
    </row>
    <row r="83" spans="22:22" x14ac:dyDescent="0.3">
      <c r="V83" s="2"/>
    </row>
    <row r="84" spans="22:22" x14ac:dyDescent="0.3">
      <c r="V84" s="2"/>
    </row>
    <row r="85" spans="22:22" x14ac:dyDescent="0.3">
      <c r="V85" s="2"/>
    </row>
    <row r="86" spans="22:22" x14ac:dyDescent="0.3">
      <c r="V86" s="2"/>
    </row>
    <row r="87" spans="22:22" x14ac:dyDescent="0.3">
      <c r="V87" s="2"/>
    </row>
    <row r="88" spans="22:22" x14ac:dyDescent="0.3">
      <c r="V88" s="2"/>
    </row>
    <row r="89" spans="22:22" x14ac:dyDescent="0.3">
      <c r="V89" s="2"/>
    </row>
    <row r="90" spans="22:22" x14ac:dyDescent="0.3">
      <c r="V90" s="2"/>
    </row>
    <row r="91" spans="22:22" x14ac:dyDescent="0.3">
      <c r="V91" s="2"/>
    </row>
    <row r="92" spans="22:22" x14ac:dyDescent="0.3">
      <c r="V92" s="2"/>
    </row>
    <row r="93" spans="22:22" x14ac:dyDescent="0.3">
      <c r="V93" s="2"/>
    </row>
    <row r="94" spans="22:22" x14ac:dyDescent="0.3">
      <c r="V94" s="2"/>
    </row>
    <row r="95" spans="22:22" x14ac:dyDescent="0.3">
      <c r="V95" s="2"/>
    </row>
    <row r="96" spans="22:22" x14ac:dyDescent="0.3">
      <c r="V96" s="2"/>
    </row>
    <row r="97" spans="22:22" x14ac:dyDescent="0.3">
      <c r="V97" s="2"/>
    </row>
    <row r="98" spans="22:22" x14ac:dyDescent="0.3">
      <c r="V98" s="2"/>
    </row>
    <row r="99" spans="22:22" x14ac:dyDescent="0.3">
      <c r="V99" s="2"/>
    </row>
    <row r="100" spans="22:22" x14ac:dyDescent="0.3">
      <c r="V100" s="2"/>
    </row>
    <row r="101" spans="22:22" x14ac:dyDescent="0.3">
      <c r="V101" s="2"/>
    </row>
    <row r="102" spans="22:22" x14ac:dyDescent="0.3">
      <c r="V102" s="2"/>
    </row>
    <row r="103" spans="22:22" x14ac:dyDescent="0.3">
      <c r="V103" s="2"/>
    </row>
    <row r="104" spans="22:22" x14ac:dyDescent="0.3">
      <c r="V104" s="2"/>
    </row>
    <row r="105" spans="22:22" x14ac:dyDescent="0.3">
      <c r="V105" s="2"/>
    </row>
    <row r="106" spans="22:22" x14ac:dyDescent="0.3">
      <c r="V106" s="2"/>
    </row>
    <row r="107" spans="22:22" x14ac:dyDescent="0.3">
      <c r="V107" s="2"/>
    </row>
    <row r="108" spans="22:22" x14ac:dyDescent="0.3">
      <c r="V108" s="2"/>
    </row>
    <row r="109" spans="22:22" x14ac:dyDescent="0.3">
      <c r="V109" s="2"/>
    </row>
    <row r="110" spans="22:22" x14ac:dyDescent="0.3">
      <c r="V110" s="2"/>
    </row>
    <row r="111" spans="22:22" x14ac:dyDescent="0.3">
      <c r="V111" s="2"/>
    </row>
    <row r="112" spans="22:22" x14ac:dyDescent="0.3">
      <c r="V112" s="2"/>
    </row>
    <row r="113" spans="22:22" x14ac:dyDescent="0.3">
      <c r="V113" s="2"/>
    </row>
    <row r="114" spans="22:22" x14ac:dyDescent="0.3">
      <c r="V114" s="2"/>
    </row>
    <row r="115" spans="22:22" x14ac:dyDescent="0.3">
      <c r="V115" s="2"/>
    </row>
    <row r="116" spans="22:22" x14ac:dyDescent="0.3">
      <c r="V116" s="2"/>
    </row>
    <row r="117" spans="22:22" x14ac:dyDescent="0.3">
      <c r="V117" s="2"/>
    </row>
    <row r="118" spans="22:22" x14ac:dyDescent="0.3">
      <c r="V118" s="2"/>
    </row>
    <row r="119" spans="22:22" x14ac:dyDescent="0.3">
      <c r="V119" s="2"/>
    </row>
    <row r="120" spans="22:22" x14ac:dyDescent="0.3">
      <c r="V120" s="2"/>
    </row>
    <row r="121" spans="22:22" x14ac:dyDescent="0.3">
      <c r="V121" s="2"/>
    </row>
    <row r="122" spans="22:22" x14ac:dyDescent="0.3">
      <c r="V122" s="2"/>
    </row>
    <row r="123" spans="22:22" x14ac:dyDescent="0.3">
      <c r="V123" s="2"/>
    </row>
    <row r="124" spans="22:22" x14ac:dyDescent="0.3">
      <c r="V124" s="2"/>
    </row>
    <row r="125" spans="22:22" x14ac:dyDescent="0.3">
      <c r="V125" s="2"/>
    </row>
    <row r="126" spans="22:22" x14ac:dyDescent="0.3">
      <c r="V126" s="2"/>
    </row>
    <row r="127" spans="22:22" x14ac:dyDescent="0.3">
      <c r="V127" s="2"/>
    </row>
    <row r="128" spans="22:22" x14ac:dyDescent="0.3">
      <c r="V128" s="2"/>
    </row>
    <row r="129" spans="22:22" x14ac:dyDescent="0.3">
      <c r="V129" s="2"/>
    </row>
    <row r="130" spans="22:22" x14ac:dyDescent="0.3">
      <c r="V130" s="2"/>
    </row>
    <row r="131" spans="22:22" x14ac:dyDescent="0.3">
      <c r="V131" s="2"/>
    </row>
    <row r="132" spans="22:22" x14ac:dyDescent="0.3">
      <c r="V132" s="2"/>
    </row>
    <row r="133" spans="22:22" x14ac:dyDescent="0.3">
      <c r="V133" s="2"/>
    </row>
    <row r="134" spans="22:22" x14ac:dyDescent="0.3">
      <c r="V134" s="2"/>
    </row>
    <row r="135" spans="22:22" x14ac:dyDescent="0.3">
      <c r="V135" s="2"/>
    </row>
    <row r="136" spans="22:22" x14ac:dyDescent="0.3">
      <c r="V136" s="2"/>
    </row>
    <row r="137" spans="22:22" x14ac:dyDescent="0.3">
      <c r="V137" s="2"/>
    </row>
    <row r="138" spans="22:22" x14ac:dyDescent="0.3">
      <c r="V138" s="2"/>
    </row>
    <row r="139" spans="22:22" x14ac:dyDescent="0.3">
      <c r="V139" s="2"/>
    </row>
    <row r="140" spans="22:22" x14ac:dyDescent="0.3">
      <c r="V140" s="2"/>
    </row>
    <row r="141" spans="22:22" x14ac:dyDescent="0.3">
      <c r="V141" s="2"/>
    </row>
    <row r="142" spans="22:22" x14ac:dyDescent="0.3">
      <c r="V142" s="2"/>
    </row>
    <row r="143" spans="22:22" x14ac:dyDescent="0.3">
      <c r="V143" s="2"/>
    </row>
    <row r="144" spans="22:22" x14ac:dyDescent="0.3">
      <c r="V144" s="2"/>
    </row>
    <row r="145" spans="22:22" x14ac:dyDescent="0.3">
      <c r="V145" s="2"/>
    </row>
    <row r="146" spans="22:22" x14ac:dyDescent="0.3">
      <c r="V146" s="2"/>
    </row>
    <row r="147" spans="22:22" x14ac:dyDescent="0.3">
      <c r="V147" s="2"/>
    </row>
    <row r="148" spans="22:22" x14ac:dyDescent="0.3">
      <c r="V148" s="2"/>
    </row>
    <row r="149" spans="22:22" x14ac:dyDescent="0.3">
      <c r="V149" s="2"/>
    </row>
    <row r="150" spans="22:22" x14ac:dyDescent="0.3">
      <c r="V150" s="2"/>
    </row>
    <row r="151" spans="22:22" x14ac:dyDescent="0.3">
      <c r="V151" s="2"/>
    </row>
    <row r="152" spans="22:22" x14ac:dyDescent="0.3">
      <c r="V152" s="2"/>
    </row>
    <row r="153" spans="22:22" x14ac:dyDescent="0.3">
      <c r="V153" s="2"/>
    </row>
    <row r="154" spans="22:22" x14ac:dyDescent="0.3">
      <c r="V154" s="2"/>
    </row>
    <row r="155" spans="22:22" x14ac:dyDescent="0.3">
      <c r="V155" s="2"/>
    </row>
    <row r="156" spans="22:22" x14ac:dyDescent="0.3">
      <c r="V156" s="2"/>
    </row>
    <row r="157" spans="22:22" x14ac:dyDescent="0.3">
      <c r="V157" s="2"/>
    </row>
    <row r="158" spans="22:22" x14ac:dyDescent="0.3">
      <c r="V158" s="2"/>
    </row>
    <row r="159" spans="22:22" x14ac:dyDescent="0.3">
      <c r="V159" s="2"/>
    </row>
    <row r="160" spans="22:22" x14ac:dyDescent="0.3">
      <c r="V160" s="2"/>
    </row>
    <row r="161" spans="22:22" x14ac:dyDescent="0.3">
      <c r="V161" s="2"/>
    </row>
    <row r="162" spans="22:22" x14ac:dyDescent="0.3">
      <c r="V162" s="2"/>
    </row>
    <row r="163" spans="22:22" x14ac:dyDescent="0.3">
      <c r="V163" s="2"/>
    </row>
    <row r="164" spans="22:22" x14ac:dyDescent="0.3">
      <c r="V164" s="2"/>
    </row>
    <row r="165" spans="22:22" x14ac:dyDescent="0.3">
      <c r="V165" s="2"/>
    </row>
    <row r="166" spans="22:22" x14ac:dyDescent="0.3">
      <c r="V166" s="2"/>
    </row>
    <row r="167" spans="22:22" x14ac:dyDescent="0.3">
      <c r="V167" s="2"/>
    </row>
    <row r="168" spans="22:22" x14ac:dyDescent="0.3">
      <c r="V168" s="2"/>
    </row>
    <row r="169" spans="22:22" x14ac:dyDescent="0.3">
      <c r="V169" s="2"/>
    </row>
    <row r="170" spans="22:22" x14ac:dyDescent="0.3">
      <c r="V170" s="2"/>
    </row>
    <row r="171" spans="22:22" x14ac:dyDescent="0.3">
      <c r="V171" s="2"/>
    </row>
    <row r="172" spans="22:22" x14ac:dyDescent="0.3">
      <c r="V172" s="2"/>
    </row>
    <row r="173" spans="22:22" x14ac:dyDescent="0.3">
      <c r="V173" s="2"/>
    </row>
    <row r="174" spans="22:22" x14ac:dyDescent="0.3">
      <c r="V174" s="2"/>
    </row>
    <row r="175" spans="22:22" x14ac:dyDescent="0.3">
      <c r="V175" s="2"/>
    </row>
    <row r="176" spans="22:22" x14ac:dyDescent="0.3">
      <c r="V176" s="2"/>
    </row>
    <row r="177" spans="22:22" x14ac:dyDescent="0.3">
      <c r="V177" s="2"/>
    </row>
    <row r="178" spans="22:22" x14ac:dyDescent="0.3">
      <c r="V178" s="2"/>
    </row>
    <row r="179" spans="22:22" x14ac:dyDescent="0.3">
      <c r="V179" s="2"/>
    </row>
    <row r="180" spans="22:22" x14ac:dyDescent="0.3">
      <c r="V180" s="2"/>
    </row>
    <row r="181" spans="22:22" x14ac:dyDescent="0.3">
      <c r="V181" s="2"/>
    </row>
    <row r="182" spans="22:22" x14ac:dyDescent="0.3">
      <c r="V182" s="2"/>
    </row>
    <row r="183" spans="22:22" x14ac:dyDescent="0.3">
      <c r="V183" s="2"/>
    </row>
    <row r="184" spans="22:22" x14ac:dyDescent="0.3">
      <c r="V184" s="2"/>
    </row>
    <row r="185" spans="22:22" x14ac:dyDescent="0.3">
      <c r="V185" s="2"/>
    </row>
    <row r="186" spans="22:22" x14ac:dyDescent="0.3">
      <c r="V186" s="2"/>
    </row>
    <row r="187" spans="22:22" x14ac:dyDescent="0.3">
      <c r="V187" s="2"/>
    </row>
    <row r="188" spans="22:22" x14ac:dyDescent="0.3">
      <c r="V188" s="2"/>
    </row>
    <row r="189" spans="22:22" x14ac:dyDescent="0.3">
      <c r="V189" s="2"/>
    </row>
    <row r="190" spans="22:22" x14ac:dyDescent="0.3">
      <c r="V190" s="2"/>
    </row>
    <row r="191" spans="22:22" x14ac:dyDescent="0.3">
      <c r="V191" s="2"/>
    </row>
    <row r="192" spans="22:22" x14ac:dyDescent="0.3">
      <c r="V192" s="2"/>
    </row>
    <row r="193" spans="22:22" x14ac:dyDescent="0.3">
      <c r="V193" s="2"/>
    </row>
    <row r="194" spans="22:22" x14ac:dyDescent="0.3">
      <c r="V194" s="2"/>
    </row>
    <row r="195" spans="22:22" x14ac:dyDescent="0.3">
      <c r="V195" s="2"/>
    </row>
    <row r="196" spans="22:22" x14ac:dyDescent="0.3">
      <c r="V196" s="2"/>
    </row>
    <row r="197" spans="22:22" x14ac:dyDescent="0.3">
      <c r="V197" s="2"/>
    </row>
    <row r="198" spans="22:22" x14ac:dyDescent="0.3">
      <c r="V198" s="2"/>
    </row>
    <row r="199" spans="22:22" x14ac:dyDescent="0.3">
      <c r="V199" s="2"/>
    </row>
    <row r="200" spans="22:22" x14ac:dyDescent="0.3">
      <c r="V200" s="2"/>
    </row>
    <row r="201" spans="22:22" x14ac:dyDescent="0.3">
      <c r="V201" s="2"/>
    </row>
    <row r="202" spans="22:22" x14ac:dyDescent="0.3">
      <c r="V202" s="2"/>
    </row>
    <row r="203" spans="22:22" x14ac:dyDescent="0.3">
      <c r="V203" s="2"/>
    </row>
    <row r="204" spans="22:22" x14ac:dyDescent="0.3">
      <c r="V204" s="2"/>
    </row>
    <row r="205" spans="22:22" x14ac:dyDescent="0.3">
      <c r="V205" s="2"/>
    </row>
    <row r="206" spans="22:22" x14ac:dyDescent="0.3">
      <c r="V206" s="2"/>
    </row>
    <row r="207" spans="22:22" x14ac:dyDescent="0.3">
      <c r="V207" s="2"/>
    </row>
    <row r="208" spans="22:22" x14ac:dyDescent="0.3">
      <c r="V208" s="2"/>
    </row>
    <row r="209" spans="22:22" x14ac:dyDescent="0.3">
      <c r="V209" s="2"/>
    </row>
    <row r="210" spans="22:22" x14ac:dyDescent="0.3">
      <c r="V210" s="2"/>
    </row>
    <row r="211" spans="22:22" x14ac:dyDescent="0.3">
      <c r="V211" s="2"/>
    </row>
    <row r="212" spans="22:22" x14ac:dyDescent="0.3">
      <c r="V212" s="2"/>
    </row>
    <row r="213" spans="22:22" x14ac:dyDescent="0.3">
      <c r="V213" s="2"/>
    </row>
    <row r="214" spans="22:22" x14ac:dyDescent="0.3">
      <c r="V214" s="2"/>
    </row>
    <row r="215" spans="22:22" x14ac:dyDescent="0.3">
      <c r="V215" s="2"/>
    </row>
    <row r="216" spans="22:22" x14ac:dyDescent="0.3">
      <c r="V216" s="2"/>
    </row>
    <row r="217" spans="22:22" x14ac:dyDescent="0.3">
      <c r="V217" s="2"/>
    </row>
    <row r="218" spans="22:22" x14ac:dyDescent="0.3">
      <c r="V218" s="2"/>
    </row>
    <row r="219" spans="22:22" x14ac:dyDescent="0.3">
      <c r="V219" s="2"/>
    </row>
    <row r="220" spans="22:22" x14ac:dyDescent="0.3">
      <c r="V220" s="2"/>
    </row>
    <row r="221" spans="22:22" x14ac:dyDescent="0.3">
      <c r="V221" s="2"/>
    </row>
    <row r="222" spans="22:22" x14ac:dyDescent="0.3">
      <c r="V222" s="2"/>
    </row>
    <row r="223" spans="22:22" x14ac:dyDescent="0.3">
      <c r="V223" s="2"/>
    </row>
    <row r="224" spans="22:22" x14ac:dyDescent="0.3">
      <c r="V224" s="2"/>
    </row>
    <row r="225" spans="22:22" x14ac:dyDescent="0.3">
      <c r="V225" s="2"/>
    </row>
    <row r="226" spans="22:22" x14ac:dyDescent="0.3">
      <c r="V226" s="2"/>
    </row>
    <row r="227" spans="22:22" x14ac:dyDescent="0.3">
      <c r="V227" s="2"/>
    </row>
    <row r="228" spans="22:22" x14ac:dyDescent="0.3">
      <c r="V228" s="2"/>
    </row>
    <row r="229" spans="22:22" x14ac:dyDescent="0.3">
      <c r="V229" s="2"/>
    </row>
    <row r="230" spans="22:22" x14ac:dyDescent="0.3">
      <c r="V230" s="2"/>
    </row>
    <row r="231" spans="22:22" x14ac:dyDescent="0.3">
      <c r="V231" s="2"/>
    </row>
    <row r="232" spans="22:22" x14ac:dyDescent="0.3">
      <c r="V232" s="2"/>
    </row>
    <row r="233" spans="22:22" x14ac:dyDescent="0.3">
      <c r="V233" s="2"/>
    </row>
    <row r="234" spans="22:22" x14ac:dyDescent="0.3">
      <c r="V234" s="2"/>
    </row>
    <row r="235" spans="22:22" x14ac:dyDescent="0.3">
      <c r="V235" s="2"/>
    </row>
    <row r="236" spans="22:22" x14ac:dyDescent="0.3">
      <c r="V236" s="2"/>
    </row>
    <row r="237" spans="22:22" x14ac:dyDescent="0.3">
      <c r="V237" s="2"/>
    </row>
    <row r="238" spans="22:22" x14ac:dyDescent="0.3">
      <c r="V238" s="2"/>
    </row>
    <row r="239" spans="22:22" x14ac:dyDescent="0.3">
      <c r="V239" s="2"/>
    </row>
    <row r="240" spans="22:22" x14ac:dyDescent="0.3">
      <c r="V240" s="2"/>
    </row>
    <row r="241" spans="22:22" x14ac:dyDescent="0.3">
      <c r="V241" s="2"/>
    </row>
    <row r="242" spans="22:22" x14ac:dyDescent="0.3">
      <c r="V242" s="2"/>
    </row>
    <row r="243" spans="22:22" x14ac:dyDescent="0.3">
      <c r="V243" s="2"/>
    </row>
    <row r="244" spans="22:22" x14ac:dyDescent="0.3">
      <c r="V244" s="2"/>
    </row>
    <row r="245" spans="22:22" x14ac:dyDescent="0.3">
      <c r="V245" s="2"/>
    </row>
    <row r="246" spans="22:22" x14ac:dyDescent="0.3">
      <c r="V246" s="2"/>
    </row>
    <row r="247" spans="22:22" x14ac:dyDescent="0.3">
      <c r="V247" s="2"/>
    </row>
    <row r="248" spans="22:22" x14ac:dyDescent="0.3">
      <c r="V248" s="2"/>
    </row>
    <row r="249" spans="22:22" x14ac:dyDescent="0.3">
      <c r="V249" s="2"/>
    </row>
    <row r="250" spans="22:22" x14ac:dyDescent="0.3">
      <c r="V250" s="2"/>
    </row>
    <row r="251" spans="22:22" x14ac:dyDescent="0.3">
      <c r="V251" s="2"/>
    </row>
    <row r="252" spans="22:22" x14ac:dyDescent="0.3">
      <c r="V252" s="2"/>
    </row>
    <row r="253" spans="22:22" x14ac:dyDescent="0.3">
      <c r="V253" s="2"/>
    </row>
    <row r="254" spans="22:22" x14ac:dyDescent="0.3">
      <c r="V254" s="2"/>
    </row>
    <row r="255" spans="22:22" x14ac:dyDescent="0.3">
      <c r="V255" s="2"/>
    </row>
    <row r="256" spans="22:22" x14ac:dyDescent="0.3">
      <c r="V256" s="2"/>
    </row>
    <row r="257" spans="22:22" x14ac:dyDescent="0.3">
      <c r="V257" s="2"/>
    </row>
    <row r="258" spans="22:22" x14ac:dyDescent="0.3">
      <c r="V258" s="2"/>
    </row>
    <row r="259" spans="22:22" x14ac:dyDescent="0.3">
      <c r="V259" s="2"/>
    </row>
    <row r="260" spans="22:22" x14ac:dyDescent="0.3">
      <c r="V260" s="2"/>
    </row>
    <row r="261" spans="22:22" x14ac:dyDescent="0.3">
      <c r="V261" s="2"/>
    </row>
    <row r="262" spans="22:22" x14ac:dyDescent="0.3">
      <c r="V262" s="2"/>
    </row>
    <row r="263" spans="22:22" x14ac:dyDescent="0.3">
      <c r="V263" s="2"/>
    </row>
    <row r="264" spans="22:22" x14ac:dyDescent="0.3">
      <c r="V264" s="2"/>
    </row>
    <row r="265" spans="22:22" x14ac:dyDescent="0.3">
      <c r="V265" s="2"/>
    </row>
    <row r="266" spans="22:22" x14ac:dyDescent="0.3">
      <c r="V266" s="2"/>
    </row>
    <row r="267" spans="22:22" x14ac:dyDescent="0.3">
      <c r="V267" s="2"/>
    </row>
    <row r="268" spans="22:22" x14ac:dyDescent="0.3">
      <c r="V268" s="2"/>
    </row>
    <row r="269" spans="22:22" x14ac:dyDescent="0.3">
      <c r="V269" s="2"/>
    </row>
    <row r="270" spans="22:22" x14ac:dyDescent="0.3">
      <c r="V270" s="2"/>
    </row>
    <row r="271" spans="22:22" x14ac:dyDescent="0.3">
      <c r="V271" s="2"/>
    </row>
    <row r="272" spans="22:22" x14ac:dyDescent="0.3">
      <c r="V272" s="2"/>
    </row>
    <row r="273" spans="22:22" x14ac:dyDescent="0.3">
      <c r="V273" s="2"/>
    </row>
    <row r="274" spans="22:22" x14ac:dyDescent="0.3">
      <c r="V274" s="2"/>
    </row>
    <row r="275" spans="22:22" x14ac:dyDescent="0.3">
      <c r="V275" s="2"/>
    </row>
    <row r="276" spans="22:22" x14ac:dyDescent="0.3">
      <c r="V276" s="2"/>
    </row>
    <row r="277" spans="22:22" x14ac:dyDescent="0.3">
      <c r="V277" s="2"/>
    </row>
    <row r="278" spans="22:22" x14ac:dyDescent="0.3">
      <c r="V278" s="2"/>
    </row>
    <row r="279" spans="22:22" x14ac:dyDescent="0.3">
      <c r="V279" s="2"/>
    </row>
    <row r="280" spans="22:22" x14ac:dyDescent="0.3">
      <c r="V280" s="2"/>
    </row>
    <row r="281" spans="22:22" x14ac:dyDescent="0.3">
      <c r="V281" s="2"/>
    </row>
    <row r="282" spans="22:22" x14ac:dyDescent="0.3">
      <c r="V282" s="2"/>
    </row>
    <row r="283" spans="22:22" x14ac:dyDescent="0.3">
      <c r="V283" s="2"/>
    </row>
    <row r="284" spans="22:22" x14ac:dyDescent="0.3">
      <c r="V284" s="2"/>
    </row>
    <row r="285" spans="22:22" x14ac:dyDescent="0.3">
      <c r="V285" s="2"/>
    </row>
    <row r="286" spans="22:22" x14ac:dyDescent="0.3">
      <c r="V286" s="2"/>
    </row>
    <row r="287" spans="22:22" x14ac:dyDescent="0.3">
      <c r="V287" s="2"/>
    </row>
    <row r="288" spans="22:22" x14ac:dyDescent="0.3">
      <c r="V288" s="2"/>
    </row>
    <row r="289" spans="22:22" x14ac:dyDescent="0.3">
      <c r="V289" s="2"/>
    </row>
    <row r="290" spans="22:22" x14ac:dyDescent="0.3">
      <c r="V290" s="2"/>
    </row>
    <row r="291" spans="22:22" x14ac:dyDescent="0.3">
      <c r="V291" s="2"/>
    </row>
    <row r="292" spans="22:22" x14ac:dyDescent="0.3">
      <c r="V292" s="2"/>
    </row>
    <row r="293" spans="22:22" x14ac:dyDescent="0.3">
      <c r="V293" s="2"/>
    </row>
    <row r="294" spans="22:22" x14ac:dyDescent="0.3">
      <c r="V294" s="2"/>
    </row>
    <row r="295" spans="22:22" x14ac:dyDescent="0.3">
      <c r="V295" s="2"/>
    </row>
    <row r="296" spans="22:22" x14ac:dyDescent="0.3">
      <c r="V296" s="2"/>
    </row>
    <row r="297" spans="22:22" x14ac:dyDescent="0.3">
      <c r="V297" s="2"/>
    </row>
    <row r="298" spans="22:22" x14ac:dyDescent="0.3">
      <c r="V298" s="2"/>
    </row>
    <row r="299" spans="22:22" x14ac:dyDescent="0.3">
      <c r="V299" s="2"/>
    </row>
    <row r="300" spans="22:22" x14ac:dyDescent="0.3">
      <c r="V300" s="2"/>
    </row>
    <row r="301" spans="22:22" x14ac:dyDescent="0.3">
      <c r="V301" s="2"/>
    </row>
    <row r="302" spans="22:22" x14ac:dyDescent="0.3">
      <c r="V302" s="2"/>
    </row>
    <row r="303" spans="22:22" x14ac:dyDescent="0.3">
      <c r="V303" s="2"/>
    </row>
    <row r="304" spans="22:22" x14ac:dyDescent="0.3">
      <c r="V304" s="2"/>
    </row>
    <row r="305" spans="22:22" x14ac:dyDescent="0.3">
      <c r="V305" s="2"/>
    </row>
    <row r="306" spans="22:22" x14ac:dyDescent="0.3">
      <c r="V306" s="2"/>
    </row>
    <row r="307" spans="22:22" x14ac:dyDescent="0.3">
      <c r="V307" s="2"/>
    </row>
    <row r="308" spans="22:22" x14ac:dyDescent="0.3">
      <c r="V308" s="2"/>
    </row>
    <row r="309" spans="22:22" x14ac:dyDescent="0.3">
      <c r="V309" s="2"/>
    </row>
    <row r="310" spans="22:22" x14ac:dyDescent="0.3">
      <c r="V310" s="2"/>
    </row>
    <row r="311" spans="22:22" x14ac:dyDescent="0.3">
      <c r="V311" s="2"/>
    </row>
    <row r="312" spans="22:22" x14ac:dyDescent="0.3">
      <c r="V312" s="2"/>
    </row>
    <row r="313" spans="22:22" x14ac:dyDescent="0.3">
      <c r="V313" s="2"/>
    </row>
    <row r="314" spans="22:22" x14ac:dyDescent="0.3">
      <c r="V314" s="2"/>
    </row>
    <row r="315" spans="22:22" x14ac:dyDescent="0.3">
      <c r="V315" s="2"/>
    </row>
    <row r="316" spans="22:22" x14ac:dyDescent="0.3">
      <c r="V316" s="2"/>
    </row>
    <row r="317" spans="22:22" x14ac:dyDescent="0.3">
      <c r="V317" s="2"/>
    </row>
    <row r="318" spans="22:22" x14ac:dyDescent="0.3">
      <c r="V318" s="2"/>
    </row>
    <row r="319" spans="22:22" x14ac:dyDescent="0.3">
      <c r="V319" s="2"/>
    </row>
    <row r="320" spans="22:22" x14ac:dyDescent="0.3">
      <c r="V320" s="2"/>
    </row>
    <row r="321" spans="22:22" x14ac:dyDescent="0.3">
      <c r="V321" s="2"/>
    </row>
    <row r="322" spans="22:22" x14ac:dyDescent="0.3">
      <c r="V322" s="2"/>
    </row>
    <row r="323" spans="22:22" x14ac:dyDescent="0.3">
      <c r="V323" s="2"/>
    </row>
    <row r="324" spans="22:22" x14ac:dyDescent="0.3">
      <c r="V324" s="2"/>
    </row>
    <row r="325" spans="22:22" x14ac:dyDescent="0.3">
      <c r="V325" s="2"/>
    </row>
    <row r="326" spans="22:22" x14ac:dyDescent="0.3">
      <c r="V326" s="2"/>
    </row>
    <row r="327" spans="22:22" x14ac:dyDescent="0.3">
      <c r="V327" s="2"/>
    </row>
    <row r="328" spans="22:22" x14ac:dyDescent="0.3">
      <c r="V328" s="2"/>
    </row>
    <row r="329" spans="22:22" x14ac:dyDescent="0.3">
      <c r="V329" s="2"/>
    </row>
    <row r="330" spans="22:22" x14ac:dyDescent="0.3">
      <c r="V330" s="2"/>
    </row>
    <row r="331" spans="22:22" x14ac:dyDescent="0.3">
      <c r="V331" s="2"/>
    </row>
    <row r="332" spans="22:22" x14ac:dyDescent="0.3">
      <c r="V332" s="2"/>
    </row>
    <row r="333" spans="22:22" x14ac:dyDescent="0.3">
      <c r="V333" s="2"/>
    </row>
    <row r="334" spans="22:22" x14ac:dyDescent="0.3">
      <c r="V334" s="2"/>
    </row>
    <row r="335" spans="22:22" x14ac:dyDescent="0.3">
      <c r="V335" s="2"/>
    </row>
    <row r="336" spans="22:22" x14ac:dyDescent="0.3">
      <c r="V336" s="2"/>
    </row>
    <row r="337" spans="22:22" x14ac:dyDescent="0.3">
      <c r="V337" s="2"/>
    </row>
    <row r="338" spans="22:22" x14ac:dyDescent="0.3">
      <c r="V338" s="2"/>
    </row>
    <row r="339" spans="22:22" x14ac:dyDescent="0.3">
      <c r="V339" s="2"/>
    </row>
    <row r="340" spans="22:22" x14ac:dyDescent="0.3">
      <c r="V340" s="2"/>
    </row>
    <row r="341" spans="22:22" x14ac:dyDescent="0.3">
      <c r="V341" s="2"/>
    </row>
    <row r="342" spans="22:22" x14ac:dyDescent="0.3">
      <c r="V342" s="2"/>
    </row>
    <row r="343" spans="22:22" x14ac:dyDescent="0.3">
      <c r="V343" s="2"/>
    </row>
    <row r="344" spans="22:22" x14ac:dyDescent="0.3">
      <c r="V344" s="2"/>
    </row>
    <row r="345" spans="22:22" x14ac:dyDescent="0.3">
      <c r="V345" s="2"/>
    </row>
    <row r="346" spans="22:22" x14ac:dyDescent="0.3">
      <c r="V346" s="2"/>
    </row>
    <row r="347" spans="22:22" x14ac:dyDescent="0.3">
      <c r="V347" s="2"/>
    </row>
    <row r="348" spans="22:22" x14ac:dyDescent="0.3">
      <c r="V348" s="2"/>
    </row>
    <row r="349" spans="22:22" x14ac:dyDescent="0.3">
      <c r="V349" s="2"/>
    </row>
    <row r="350" spans="22:22" x14ac:dyDescent="0.3">
      <c r="V350" s="2"/>
    </row>
    <row r="351" spans="22:22" x14ac:dyDescent="0.3">
      <c r="V351" s="2"/>
    </row>
    <row r="352" spans="22:22" x14ac:dyDescent="0.3">
      <c r="V352" s="2"/>
    </row>
    <row r="353" spans="22:22" x14ac:dyDescent="0.3">
      <c r="V353" s="2"/>
    </row>
    <row r="354" spans="22:22" x14ac:dyDescent="0.3">
      <c r="V354" s="2"/>
    </row>
    <row r="355" spans="22:22" x14ac:dyDescent="0.3">
      <c r="V355" s="2"/>
    </row>
    <row r="356" spans="22:22" x14ac:dyDescent="0.3">
      <c r="V356" s="2"/>
    </row>
    <row r="357" spans="22:22" x14ac:dyDescent="0.3">
      <c r="V357" s="2"/>
    </row>
    <row r="358" spans="22:22" x14ac:dyDescent="0.3">
      <c r="V358" s="2"/>
    </row>
    <row r="359" spans="22:22" x14ac:dyDescent="0.3">
      <c r="V359" s="2"/>
    </row>
    <row r="360" spans="22:22" x14ac:dyDescent="0.3">
      <c r="V360" s="2"/>
    </row>
    <row r="361" spans="22:22" x14ac:dyDescent="0.3">
      <c r="V361" s="2"/>
    </row>
    <row r="362" spans="22:22" x14ac:dyDescent="0.3">
      <c r="V362" s="2"/>
    </row>
    <row r="363" spans="22:22" x14ac:dyDescent="0.3">
      <c r="V363" s="2"/>
    </row>
    <row r="364" spans="22:22" x14ac:dyDescent="0.3">
      <c r="V364" s="2"/>
    </row>
    <row r="365" spans="22:22" x14ac:dyDescent="0.3">
      <c r="V365" s="2"/>
    </row>
    <row r="366" spans="22:22" x14ac:dyDescent="0.3">
      <c r="V366" s="2"/>
    </row>
    <row r="367" spans="22:22" x14ac:dyDescent="0.3">
      <c r="V367" s="2"/>
    </row>
    <row r="368" spans="22:22" x14ac:dyDescent="0.3">
      <c r="V368" s="2"/>
    </row>
    <row r="369" spans="22:22" x14ac:dyDescent="0.3">
      <c r="V369" s="2"/>
    </row>
    <row r="370" spans="22:22" x14ac:dyDescent="0.3">
      <c r="V370" s="2"/>
    </row>
    <row r="371" spans="22:22" x14ac:dyDescent="0.3">
      <c r="V371" s="2"/>
    </row>
    <row r="372" spans="22:22" x14ac:dyDescent="0.3">
      <c r="V372" s="2"/>
    </row>
    <row r="373" spans="22:22" x14ac:dyDescent="0.3">
      <c r="V373" s="2"/>
    </row>
    <row r="374" spans="22:22" x14ac:dyDescent="0.3">
      <c r="V374" s="2"/>
    </row>
    <row r="375" spans="22:22" x14ac:dyDescent="0.3">
      <c r="V375" s="2"/>
    </row>
    <row r="376" spans="22:22" x14ac:dyDescent="0.3">
      <c r="V376" s="2"/>
    </row>
    <row r="377" spans="22:22" x14ac:dyDescent="0.3">
      <c r="V377" s="2"/>
    </row>
    <row r="378" spans="22:22" x14ac:dyDescent="0.3">
      <c r="V378" s="2"/>
    </row>
    <row r="379" spans="22:22" x14ac:dyDescent="0.3">
      <c r="V379" s="2"/>
    </row>
    <row r="380" spans="22:22" x14ac:dyDescent="0.3">
      <c r="V380" s="2"/>
    </row>
    <row r="381" spans="22:22" x14ac:dyDescent="0.3">
      <c r="V381" s="2"/>
    </row>
    <row r="382" spans="22:22" x14ac:dyDescent="0.3">
      <c r="V382" s="2"/>
    </row>
    <row r="383" spans="22:22" x14ac:dyDescent="0.3">
      <c r="V383" s="2"/>
    </row>
    <row r="384" spans="22:22" x14ac:dyDescent="0.3">
      <c r="V384" s="2"/>
    </row>
    <row r="385" spans="22:22" x14ac:dyDescent="0.3">
      <c r="V385" s="2"/>
    </row>
    <row r="386" spans="22:22" x14ac:dyDescent="0.3">
      <c r="V386" s="2"/>
    </row>
    <row r="387" spans="22:22" x14ac:dyDescent="0.3">
      <c r="V387" s="2"/>
    </row>
    <row r="388" spans="22:22" x14ac:dyDescent="0.3">
      <c r="V388" s="2"/>
    </row>
    <row r="389" spans="22:22" x14ac:dyDescent="0.3">
      <c r="V389" s="2"/>
    </row>
    <row r="390" spans="22:22" x14ac:dyDescent="0.3">
      <c r="V390" s="2"/>
    </row>
    <row r="391" spans="22:22" x14ac:dyDescent="0.3">
      <c r="V391" s="2"/>
    </row>
    <row r="392" spans="22:22" x14ac:dyDescent="0.3">
      <c r="V392" s="2"/>
    </row>
    <row r="393" spans="22:22" x14ac:dyDescent="0.3">
      <c r="V393" s="2"/>
    </row>
    <row r="394" spans="22:22" x14ac:dyDescent="0.3">
      <c r="V394" s="2"/>
    </row>
    <row r="395" spans="22:22" x14ac:dyDescent="0.3">
      <c r="V395" s="2"/>
    </row>
    <row r="396" spans="22:22" x14ac:dyDescent="0.3">
      <c r="V396" s="2"/>
    </row>
    <row r="397" spans="22:22" x14ac:dyDescent="0.3">
      <c r="V397" s="2"/>
    </row>
    <row r="398" spans="22:22" x14ac:dyDescent="0.3">
      <c r="V398" s="2"/>
    </row>
    <row r="399" spans="22:22" x14ac:dyDescent="0.3">
      <c r="V399" s="2"/>
    </row>
    <row r="400" spans="22:22" x14ac:dyDescent="0.3">
      <c r="V400" s="2"/>
    </row>
    <row r="401" spans="22:22" x14ac:dyDescent="0.3">
      <c r="V401" s="2"/>
    </row>
    <row r="402" spans="22:22" x14ac:dyDescent="0.3">
      <c r="V402" s="2"/>
    </row>
    <row r="403" spans="22:22" x14ac:dyDescent="0.3">
      <c r="V403" s="2"/>
    </row>
    <row r="404" spans="22:22" x14ac:dyDescent="0.3">
      <c r="V404" s="2"/>
    </row>
    <row r="405" spans="22:22" x14ac:dyDescent="0.3">
      <c r="V405" s="2"/>
    </row>
    <row r="406" spans="22:22" x14ac:dyDescent="0.3">
      <c r="V406" s="2"/>
    </row>
    <row r="407" spans="22:22" x14ac:dyDescent="0.3">
      <c r="V407" s="2"/>
    </row>
    <row r="408" spans="22:22" x14ac:dyDescent="0.3">
      <c r="V408" s="2"/>
    </row>
    <row r="409" spans="22:22" x14ac:dyDescent="0.3">
      <c r="V409" s="2"/>
    </row>
    <row r="410" spans="22:22" x14ac:dyDescent="0.3">
      <c r="V410" s="2"/>
    </row>
    <row r="411" spans="22:22" x14ac:dyDescent="0.3">
      <c r="V411" s="2"/>
    </row>
    <row r="412" spans="22:22" x14ac:dyDescent="0.3">
      <c r="V412" s="2"/>
    </row>
    <row r="413" spans="22:22" x14ac:dyDescent="0.3">
      <c r="V413" s="2"/>
    </row>
    <row r="414" spans="22:22" x14ac:dyDescent="0.3">
      <c r="V414" s="2"/>
    </row>
    <row r="415" spans="22:22" x14ac:dyDescent="0.3">
      <c r="V415" s="2"/>
    </row>
    <row r="416" spans="22:22" x14ac:dyDescent="0.3">
      <c r="V416" s="2"/>
    </row>
    <row r="417" spans="22:22" x14ac:dyDescent="0.3">
      <c r="V417" s="2"/>
    </row>
    <row r="418" spans="22:22" x14ac:dyDescent="0.3">
      <c r="V418" s="2"/>
    </row>
    <row r="419" spans="22:22" x14ac:dyDescent="0.3">
      <c r="V419" s="2"/>
    </row>
    <row r="420" spans="22:22" x14ac:dyDescent="0.3">
      <c r="V420" s="2"/>
    </row>
    <row r="421" spans="22:22" x14ac:dyDescent="0.3">
      <c r="V421" s="2"/>
    </row>
    <row r="422" spans="22:22" x14ac:dyDescent="0.3">
      <c r="V422" s="2"/>
    </row>
    <row r="423" spans="22:22" x14ac:dyDescent="0.3">
      <c r="V423" s="2"/>
    </row>
    <row r="424" spans="22:22" x14ac:dyDescent="0.3">
      <c r="V424" s="2"/>
    </row>
    <row r="425" spans="22:22" x14ac:dyDescent="0.3">
      <c r="V425" s="2"/>
    </row>
    <row r="426" spans="22:22" x14ac:dyDescent="0.3">
      <c r="V426" s="2"/>
    </row>
    <row r="427" spans="22:22" x14ac:dyDescent="0.3">
      <c r="V427" s="2"/>
    </row>
    <row r="428" spans="22:22" x14ac:dyDescent="0.3">
      <c r="V428" s="2"/>
    </row>
    <row r="429" spans="22:22" x14ac:dyDescent="0.3">
      <c r="V429" s="2"/>
    </row>
    <row r="430" spans="22:22" x14ac:dyDescent="0.3">
      <c r="V430" s="2"/>
    </row>
    <row r="431" spans="22:22" x14ac:dyDescent="0.3">
      <c r="V431" s="2"/>
    </row>
    <row r="432" spans="22:22" x14ac:dyDescent="0.3">
      <c r="V432" s="2"/>
    </row>
    <row r="433" spans="22:22" x14ac:dyDescent="0.3">
      <c r="V433" s="2"/>
    </row>
    <row r="434" spans="22:22" x14ac:dyDescent="0.3">
      <c r="V434" s="2"/>
    </row>
    <row r="435" spans="22:22" x14ac:dyDescent="0.3">
      <c r="V435" s="2"/>
    </row>
    <row r="436" spans="22:22" x14ac:dyDescent="0.3">
      <c r="V436" s="2"/>
    </row>
    <row r="437" spans="22:22" x14ac:dyDescent="0.3">
      <c r="V437" s="2"/>
    </row>
    <row r="438" spans="22:22" x14ac:dyDescent="0.3">
      <c r="V438" s="2"/>
    </row>
    <row r="439" spans="22:22" x14ac:dyDescent="0.3">
      <c r="V439" s="2"/>
    </row>
    <row r="440" spans="22:22" x14ac:dyDescent="0.3">
      <c r="V440" s="2"/>
    </row>
    <row r="441" spans="22:22" x14ac:dyDescent="0.3">
      <c r="V441" s="2"/>
    </row>
    <row r="442" spans="22:22" x14ac:dyDescent="0.3">
      <c r="V442" s="2"/>
    </row>
    <row r="443" spans="22:22" x14ac:dyDescent="0.3">
      <c r="V443" s="2"/>
    </row>
  </sheetData>
  <dataValidations count="2">
    <dataValidation type="list" allowBlank="1" showInputMessage="1" showErrorMessage="1" sqref="E12 E25" xr:uid="{00000000-0002-0000-0000-000000000000}">
      <formula1>gérald</formula1>
    </dataValidation>
    <dataValidation type="list" allowBlank="1" showInputMessage="1" showErrorMessage="1" sqref="E5:E11 E18:E24" xr:uid="{9A451A42-28BE-4DE2-AE90-7E8130358878}">
      <formula1>gerald2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37"/>
  <sheetViews>
    <sheetView topLeftCell="B1" zoomScale="75" zoomScaleNormal="75" workbookViewId="0">
      <selection activeCell="H18" sqref="H18"/>
    </sheetView>
  </sheetViews>
  <sheetFormatPr baseColWidth="10" defaultRowHeight="14.4" x14ac:dyDescent="0.3"/>
  <cols>
    <col min="1" max="1" width="6.109375" customWidth="1"/>
    <col min="2" max="2" width="31.109375" customWidth="1"/>
    <col min="3" max="3" width="13.33203125" customWidth="1"/>
    <col min="4" max="4" width="14.5546875" customWidth="1"/>
    <col min="5" max="5" width="12.5546875" customWidth="1"/>
    <col min="6" max="6" width="25.88671875" customWidth="1"/>
    <col min="7" max="7" width="15.33203125" customWidth="1"/>
    <col min="8" max="8" width="9.6640625" customWidth="1"/>
    <col min="9" max="9" width="6.6640625" hidden="1" customWidth="1"/>
    <col min="10" max="10" width="12.44140625" customWidth="1"/>
    <col min="11" max="11" width="13" customWidth="1"/>
    <col min="12" max="12" width="8.33203125" customWidth="1"/>
    <col min="13" max="13" width="7" customWidth="1"/>
    <col min="14" max="14" width="11.44140625" customWidth="1"/>
    <col min="15" max="15" width="14.6640625" customWidth="1"/>
    <col min="16" max="16" width="5" customWidth="1"/>
    <col min="17" max="17" width="31.109375" customWidth="1"/>
    <col min="18" max="18" width="21.109375" customWidth="1"/>
  </cols>
  <sheetData>
    <row r="2" spans="1:20" x14ac:dyDescent="0.3">
      <c r="A2" s="20"/>
      <c r="B2" s="73"/>
      <c r="C2" s="74" t="s">
        <v>93</v>
      </c>
      <c r="F2" s="73"/>
      <c r="G2" s="116" t="s">
        <v>89</v>
      </c>
      <c r="H2" s="117"/>
      <c r="K2" s="94"/>
      <c r="L2" s="113" t="s">
        <v>82</v>
      </c>
      <c r="M2" s="95"/>
      <c r="N2" s="94"/>
      <c r="O2" s="111" t="s">
        <v>94</v>
      </c>
      <c r="Q2" s="105"/>
      <c r="R2" s="106" t="s">
        <v>97</v>
      </c>
    </row>
    <row r="3" spans="1:20" x14ac:dyDescent="0.3">
      <c r="A3" s="20"/>
      <c r="B3" s="82"/>
      <c r="C3" s="123" t="s">
        <v>60</v>
      </c>
      <c r="D3" s="22"/>
      <c r="F3" s="75" t="s">
        <v>30</v>
      </c>
      <c r="G3" s="76">
        <f>COUNTIF('planning '!$E$6:$E$14,F3)</f>
        <v>0</v>
      </c>
      <c r="H3" s="80">
        <f>G3*'bases de donnée'!E5</f>
        <v>0</v>
      </c>
      <c r="K3" s="112" t="s">
        <v>81</v>
      </c>
      <c r="L3" s="96"/>
      <c r="M3" s="96" t="s">
        <v>58</v>
      </c>
      <c r="N3" s="101" t="s">
        <v>79</v>
      </c>
      <c r="O3" s="96" t="s">
        <v>80</v>
      </c>
      <c r="Q3" s="107" t="s">
        <v>39</v>
      </c>
      <c r="R3" s="19">
        <f>SUM('planning '!AC12:AC14)</f>
        <v>0</v>
      </c>
    </row>
    <row r="4" spans="1:20" x14ac:dyDescent="0.3">
      <c r="A4" s="20"/>
      <c r="B4" s="75" t="s">
        <v>28</v>
      </c>
      <c r="C4" s="76">
        <f>COUNTIF('planning '!$E$6:$E$14,B4)</f>
        <v>6</v>
      </c>
      <c r="F4" s="75" t="s">
        <v>31</v>
      </c>
      <c r="G4" s="76">
        <f>COUNTIF('planning '!$E$6:$E$14,F4)</f>
        <v>0</v>
      </c>
      <c r="H4" s="79">
        <f>SUM(G4*'bases de donnée'!E24)</f>
        <v>0</v>
      </c>
      <c r="K4" s="92" t="s">
        <v>46</v>
      </c>
      <c r="L4" s="93">
        <f>SUMPRODUCT((YEAR('planning '!$D$6:$D$14)='bases de donnée'!E$2)*(MONTH('planning '!$D$6:$D$14)=MONTH(1&amp;K4))*('planning '!$V$6:$V$14))</f>
        <v>2.8333333333333344</v>
      </c>
      <c r="M4" s="18">
        <f>IF(SUM(L4-'bases de donnée'!E$12)&lt;0,0,SUM(L4-'bases de donnée'!E$12))</f>
        <v>1.7916666666666676</v>
      </c>
      <c r="N4" s="93">
        <f>SUMPRODUCT((YEAR('planning '!$D$6:$D$14)='bases de donnée'!E$2)*(MONTH('planning '!$D$6:$D$14)=MONTH(1&amp;K4))*('planning '!$AA$6:$AA$14))</f>
        <v>1.541666666666667</v>
      </c>
      <c r="O4" s="93">
        <f>IF(N4&lt;0.625,N4*'bases de donnée'!$E$14,(0.583333*'bases de donnée'!$E$14)+(N4-0.583333)*'bases de donnée'!$E$15)*24</f>
        <v>2.1666667500000005</v>
      </c>
      <c r="Q4" s="108" t="s">
        <v>43</v>
      </c>
      <c r="R4" s="27">
        <f>SUM('planning '!AD12:AD16)</f>
        <v>0</v>
      </c>
    </row>
    <row r="5" spans="1:20" x14ac:dyDescent="0.3">
      <c r="A5" s="20"/>
      <c r="B5" s="75" t="s">
        <v>27</v>
      </c>
      <c r="C5" s="76">
        <f>COUNTIF('planning '!$E$6:$E$14,B5)</f>
        <v>0</v>
      </c>
      <c r="F5" s="75" t="s">
        <v>32</v>
      </c>
      <c r="G5" s="76">
        <f>COUNTIF('planning '!$E$6:$E$14,F5)</f>
        <v>0</v>
      </c>
      <c r="H5" s="80">
        <f>G5*'bases de donnée'!E25</f>
        <v>0</v>
      </c>
      <c r="K5" s="92" t="s">
        <v>47</v>
      </c>
      <c r="L5" s="93">
        <f>SUMPRODUCT((YEAR('planning '!$D$6:$D$14)='bases de donnée'!E$2)*(MONTH('planning '!$D$6:$D$14)=MONTH(1&amp;K5))*('planning '!$V$6:$V$14))</f>
        <v>0</v>
      </c>
      <c r="M5" s="18">
        <f>IF(SUM(L5-'bases de donnée'!E$12)&lt;0,0,SUM(L5-'bases de donnée'!E$12))</f>
        <v>0</v>
      </c>
      <c r="N5" s="93">
        <f>SUMPRODUCT((YEAR('planning '!$D$6:$D$14)='bases de donnée'!E$2)*(MONTH('planning '!$D$6:$D$14)=MONTH(1&amp;K5))*('planning '!$AA$6:$AA$14))</f>
        <v>0</v>
      </c>
      <c r="O5" s="93">
        <f>IF(N5&lt;0.625,N5*'bases de donnée'!$E$14,(0.583333*'bases de donnée'!$E$14)+(N5-0.583333)*'bases de donnée'!$E$15)*24</f>
        <v>0</v>
      </c>
      <c r="Q5" s="108" t="s">
        <v>75</v>
      </c>
      <c r="R5" s="27">
        <f>SUM('planning '!AE12:AE16)</f>
        <v>0</v>
      </c>
    </row>
    <row r="6" spans="1:20" x14ac:dyDescent="0.3">
      <c r="B6" s="75" t="s">
        <v>29</v>
      </c>
      <c r="C6" s="76">
        <f>COUNTIF('planning '!$E$6:$E$14,B6)</f>
        <v>0</v>
      </c>
      <c r="D6" s="37"/>
      <c r="F6" s="75" t="s">
        <v>86</v>
      </c>
      <c r="G6" s="118">
        <f>SUM(G3:G5)</f>
        <v>0</v>
      </c>
      <c r="H6" s="79">
        <f>SUM(H3+H4+H5)</f>
        <v>0</v>
      </c>
      <c r="K6" s="92" t="s">
        <v>48</v>
      </c>
      <c r="L6" s="93">
        <f>SUMPRODUCT((YEAR('planning '!$D$6:$D$14)='bases de donnée'!E$2)*(MONTH('planning '!$D$6:$D$14)=MONTH(1&amp;K6))*('planning '!$V$6:$V$14))</f>
        <v>0</v>
      </c>
      <c r="M6" s="18">
        <f>IF(SUM(L6-'bases de donnée'!E$12)&lt;0,0,SUM(L6-'bases de donnée'!E$12))</f>
        <v>0</v>
      </c>
      <c r="N6" s="93">
        <f>SUMPRODUCT((YEAR('planning '!$D$6:$D$14)='bases de donnée'!E$2)*(MONTH('planning '!$D$6:$D$14)=MONTH(1&amp;K6))*('planning '!$AA$6:$AA$14))</f>
        <v>0</v>
      </c>
      <c r="O6" s="93">
        <f>IF(N6&lt;0.625,N6*'bases de donnée'!$E$14,(0.583333*'bases de donnée'!$E$14)+(N6-0.583333)*'bases de donnée'!$E$15)*24</f>
        <v>0</v>
      </c>
    </row>
    <row r="7" spans="1:20" x14ac:dyDescent="0.3">
      <c r="B7" s="75" t="s">
        <v>33</v>
      </c>
      <c r="C7" s="76">
        <f>COUNTIF('planning '!$E$6:$E$14,B7)</f>
        <v>0</v>
      </c>
      <c r="D7" s="37"/>
      <c r="K7" s="92" t="s">
        <v>49</v>
      </c>
      <c r="L7" s="93">
        <f>SUMPRODUCT((YEAR('planning '!$D$6:$D$14)='bases de donnée'!E$2)*(MONTH('planning '!$D$6:$D$14)=MONTH(1&amp;K7))*('planning '!$V$6:$V$14))</f>
        <v>0</v>
      </c>
      <c r="M7" s="18">
        <f>IF(SUM(L7-'bases de donnée'!E$12)&lt;0,0,SUM(L7-'bases de donnée'!E$12))</f>
        <v>0</v>
      </c>
      <c r="N7" s="93">
        <f>SUMPRODUCT((YEAR('planning '!$D$6:$D$14)='bases de donnée'!E$2)*(MONTH('planning '!$D$6:$D$14)=MONTH(1&amp;K7))*('planning '!$AA$6:$AA$14))</f>
        <v>0</v>
      </c>
      <c r="O7" s="93">
        <f>IF(N7&lt;0.625,N7*'bases de donnée'!$E$14,(0.583333*'bases de donnée'!$E$14)+(N7-0.583333)*'bases de donnée'!$E$15)*24</f>
        <v>0</v>
      </c>
      <c r="S7" s="20"/>
      <c r="T7" s="21"/>
    </row>
    <row r="8" spans="1:20" x14ac:dyDescent="0.3">
      <c r="B8" s="75" t="s">
        <v>34</v>
      </c>
      <c r="C8" s="76">
        <f>COUNTIF('planning '!$E$6:$E$14,B8)</f>
        <v>0</v>
      </c>
      <c r="D8" s="37"/>
      <c r="F8" s="73"/>
      <c r="G8" s="121" t="s">
        <v>90</v>
      </c>
      <c r="K8" s="92" t="s">
        <v>50</v>
      </c>
      <c r="L8" s="93">
        <f>SUMPRODUCT((YEAR('planning '!$D$6:$D$14)='bases de donnée'!E$2)*(MONTH('planning '!$D$6:$D$14)=MONTH(1&amp;K8))*('planning '!$V$6:$V$14))</f>
        <v>0</v>
      </c>
      <c r="M8" s="18">
        <f>IF(SUM(L8-'bases de donnée'!E$12)&lt;0,0,SUM(L8-'bases de donnée'!E$12))</f>
        <v>0</v>
      </c>
      <c r="N8" s="93">
        <f>SUMPRODUCT((YEAR('planning '!$D$6:$D$14)='bases de donnée'!E$2)*(MONTH('planning '!$D$6:$D$14)=MONTH(1&amp;K8))*('planning '!$AA$6:$AA$14))</f>
        <v>0</v>
      </c>
      <c r="O8" s="93">
        <f>IF(N8&lt;0.625,N8*'bases de donnée'!$E$14,(0.583333*'bases de donnée'!$E$14)+(N8-0.583333)*'bases de donnée'!$E$15)*24</f>
        <v>0</v>
      </c>
    </row>
    <row r="9" spans="1:20" x14ac:dyDescent="0.3">
      <c r="B9" s="75" t="s">
        <v>35</v>
      </c>
      <c r="C9" s="76">
        <f>COUNTIF('planning '!$E$6:$E$14,B9)</f>
        <v>0</v>
      </c>
      <c r="D9" s="37"/>
      <c r="F9" s="115" t="s">
        <v>84</v>
      </c>
      <c r="G9" s="76">
        <f>COUNTIF('planning '!$E$6:$E$14,F9)</f>
        <v>0</v>
      </c>
      <c r="H9" s="122"/>
      <c r="K9" s="92" t="s">
        <v>51</v>
      </c>
      <c r="L9" s="93">
        <f>SUMPRODUCT((YEAR('planning '!$D$6:$D$14)='bases de donnée'!E$2)*(MONTH('planning '!$D$6:$D$14)=MONTH(1&amp;K9))*('planning '!$V$6:$V$14))</f>
        <v>0</v>
      </c>
      <c r="M9" s="18">
        <f>IF(SUM(L9-'bases de donnée'!E$12)&lt;0,0,SUM(L9-'bases de donnée'!E$12))</f>
        <v>0</v>
      </c>
      <c r="N9" s="93">
        <f>SUMPRODUCT((YEAR('planning '!$D$6:$D$14)='bases de donnée'!E$2)*(MONTH('planning '!$D$6:$D$14)=MONTH(1&amp;K9))*('planning '!$AA$6:$AA$14))</f>
        <v>0</v>
      </c>
      <c r="O9" s="93">
        <f>IF(N9&lt;0.625,N9*'bases de donnée'!$E$14,(0.583333*'bases de donnée'!$E$14)+(N9-0.583333)*'bases de donnée'!$E$15)*24</f>
        <v>0</v>
      </c>
      <c r="R9" s="1"/>
    </row>
    <row r="10" spans="1:20" x14ac:dyDescent="0.3">
      <c r="B10" s="75" t="s">
        <v>36</v>
      </c>
      <c r="C10" s="76">
        <f>COUNTIF('planning '!$E$6:$E$14,B10)</f>
        <v>0</v>
      </c>
      <c r="D10" s="1"/>
      <c r="F10" s="115" t="s">
        <v>85</v>
      </c>
      <c r="G10" s="76">
        <f>COUNTIF('planning '!$E$6:$E$14,F10)</f>
        <v>0</v>
      </c>
      <c r="H10" s="122"/>
      <c r="K10" s="92" t="s">
        <v>52</v>
      </c>
      <c r="L10" s="93">
        <f>SUMPRODUCT((YEAR('planning '!$D$6:$D$14)='bases de donnée'!E$2)*(MONTH('planning '!$D$6:$D$14)=MONTH(1&amp;K10))*('planning '!$V$6:$V$14))</f>
        <v>0</v>
      </c>
      <c r="M10" s="18">
        <f>IF(SUM(L10-'bases de donnée'!E$12)&lt;0,0,SUM(L10-'bases de donnée'!E$12))</f>
        <v>0</v>
      </c>
      <c r="N10" s="93">
        <f>SUMPRODUCT((YEAR('planning '!$D$6:$D$14)='bases de donnée'!E$2)*(MONTH('planning '!$D$6:$D$14)=MONTH(1&amp;K10))*('planning '!$AA$6:$AA$14))</f>
        <v>0</v>
      </c>
      <c r="O10" s="93">
        <f>IF(N10&lt;0.625,N10*'bases de donnée'!$E$14,(0.583333*'bases de donnée'!$E$14)+(N10-0.583333)*'bases de donnée'!$E$15)*24</f>
        <v>0</v>
      </c>
      <c r="R10" s="1"/>
    </row>
    <row r="11" spans="1:20" x14ac:dyDescent="0.3">
      <c r="F11" s="115" t="s">
        <v>83</v>
      </c>
      <c r="G11" s="76">
        <f>COUNTIF('planning '!$E$9:$E$14,F11)</f>
        <v>0</v>
      </c>
      <c r="H11" s="122"/>
      <c r="K11" s="92" t="s">
        <v>53</v>
      </c>
      <c r="L11" s="93">
        <f>SUMPRODUCT((YEAR('planning '!$D$6:$D$14)='bases de donnée'!E$2)*(MONTH('planning '!$D$6:$D$14)=MONTH(1&amp;K11))*('planning '!$V$6:$V$14))</f>
        <v>0</v>
      </c>
      <c r="M11" s="18">
        <f>IF(SUM(L11-'bases de donnée'!E$12)&lt;0,0,SUM(L11-'bases de donnée'!E$12))</f>
        <v>0</v>
      </c>
      <c r="N11" s="93">
        <f>SUMPRODUCT((YEAR('planning '!$D$6:$D$14)='bases de donnée'!E$2)*(MONTH('planning '!$D$6:$D$14)=MONTH(1&amp;K11))*('planning '!$AA$6:$AA$14))</f>
        <v>0</v>
      </c>
      <c r="O11" s="93">
        <f>IF(N11&lt;0.625,N11*'bases de donnée'!$E$14,(0.583333*'bases de donnée'!$E$14)+(N11-0.583333)*'bases de donnée'!$E$15)*24</f>
        <v>0</v>
      </c>
      <c r="R11" s="1"/>
    </row>
    <row r="12" spans="1:20" x14ac:dyDescent="0.3">
      <c r="B12" s="78" t="s">
        <v>68</v>
      </c>
      <c r="C12" s="81">
        <f>SUM(C4+C5+C6+C7+C8+C9+C10+G6+G12+G13)</f>
        <v>6</v>
      </c>
      <c r="F12" s="119" t="s">
        <v>87</v>
      </c>
      <c r="G12" s="118">
        <f>G9+G10</f>
        <v>0</v>
      </c>
      <c r="K12" s="92" t="s">
        <v>54</v>
      </c>
      <c r="L12" s="93">
        <f>SUMPRODUCT((YEAR('planning '!$D$6:$D$14)='bases de donnée'!E$2)*(MONTH('planning '!$D$6:$D$14)=MONTH(1&amp;K12))*('planning '!$V$6:$V$14))</f>
        <v>0</v>
      </c>
      <c r="M12" s="18">
        <f>IF(SUM(L12-'bases de donnée'!E$12)&lt;0,0,SUM(L12-'bases de donnée'!E$12))</f>
        <v>0</v>
      </c>
      <c r="N12" s="93">
        <f>SUMPRODUCT((YEAR('planning '!$D$6:$D$14)='bases de donnée'!E$2)*(MONTH('planning '!$D$6:$D$14)=MONTH(1&amp;K12))*('planning '!$AA$6:$AA$14))</f>
        <v>0</v>
      </c>
      <c r="O12" s="93">
        <f>IF(N12&lt;0.625,N12*'bases de donnée'!$E$14,(0.583333*'bases de donnée'!$E$14)+(N12-0.583333)*'bases de donnée'!$E$15)*24</f>
        <v>0</v>
      </c>
    </row>
    <row r="13" spans="1:20" ht="15" customHeight="1" x14ac:dyDescent="0.4">
      <c r="B13" s="75" t="s">
        <v>91</v>
      </c>
      <c r="C13" s="77">
        <f>SUMPRODUCT((YEAR('planning '!$D$6:$D$14)='bases de donnée'!E$2)*('planning '!$K$6:$K$14))-H6</f>
        <v>3.7500000000000004</v>
      </c>
      <c r="F13" s="120" t="s">
        <v>88</v>
      </c>
      <c r="G13" s="118">
        <f>G11</f>
        <v>0</v>
      </c>
      <c r="K13" s="92" t="s">
        <v>55</v>
      </c>
      <c r="L13" s="93">
        <f>SUMPRODUCT((YEAR('planning '!$D$5:$D$14)='bases de donnée'!E$2)*(MONTH('planning '!$D$5:$D$14)=MONTH(1&amp;K13))*('planning '!$V$5:$V$14))</f>
        <v>0</v>
      </c>
      <c r="M13" s="18">
        <f>IF(SUM(L13-'bases de donnée'!E$12)&lt;0,0,SUM(L13-'bases de donnée'!E$12))</f>
        <v>0</v>
      </c>
      <c r="N13" s="93">
        <f>SUMPRODUCT((YEAR('planning '!$D$6:$D$14)='bases de donnée'!E$2)*(MONTH('planning '!$D$6:$D$14)=MONTH(1&amp;K13))*('planning '!$AA$6:$AA$14))</f>
        <v>0</v>
      </c>
      <c r="O13" s="93">
        <f>IF(N13&lt;0.625,N13*'bases de donnée'!$E$14,(0.583333*'bases de donnée'!$E$14)+(N13-0.583333)*'bases de donnée'!$E$15)*24</f>
        <v>0</v>
      </c>
      <c r="R13" s="50"/>
    </row>
    <row r="14" spans="1:20" ht="15" customHeight="1" x14ac:dyDescent="0.3">
      <c r="K14" s="92" t="s">
        <v>56</v>
      </c>
      <c r="L14" s="93">
        <f>SUMPRODUCT((YEAR('planning '!$D$6:$D$14)='bases de donnée'!E$2)*(MONTH('planning '!$D$6:$D$14)=MONTH(1&amp;K14))*('planning '!$V$6:$V$14))</f>
        <v>0</v>
      </c>
      <c r="M14" s="18">
        <f>IF(SUM(L14-'bases de donnée'!E$12)&lt;0,0,SUM(L14-'bases de donnée'!E$12))</f>
        <v>0</v>
      </c>
      <c r="N14" s="93">
        <f>SUMPRODUCT((YEAR('planning '!$D$6:$D$14)='bases de donnée'!E$2)*(MONTH('planning '!$D$6:$D$14)=MONTH(1&amp;K14))*('planning '!$AA$6:$AA$14))</f>
        <v>0</v>
      </c>
      <c r="O14" s="93">
        <f>IF(N14&lt;0.625,N14*'bases de donnée'!$E$14,(0.583333*'bases de donnée'!$E$14)+(N14-0.583333)*'bases de donnée'!$E$15)*24</f>
        <v>0</v>
      </c>
    </row>
    <row r="15" spans="1:20" x14ac:dyDescent="0.3">
      <c r="K15" s="92" t="s">
        <v>57</v>
      </c>
      <c r="L15" s="93">
        <f>SUMPRODUCT((YEAR('planning '!$D$6:$D$14)='bases de donnée'!E$2)*(MONTH('planning '!$D$6:$D$14)=MONTH(1&amp;K15))*('planning '!$V$6:$V$14))</f>
        <v>0</v>
      </c>
      <c r="M15" s="18">
        <f>IF(SUM(L15-'bases de donnée'!E$12)&lt;0,0,SUM(L15-'bases de donnée'!E$12))</f>
        <v>0</v>
      </c>
      <c r="N15" s="93">
        <f>SUMPRODUCT((YEAR('planning '!$D$6:$D$14)='bases de donnée'!E$2)*(MONTH('planning '!$D$6:$D$14)=MONTH(1&amp;K15))*('planning '!$AA$6:$AA$14))</f>
        <v>0</v>
      </c>
      <c r="O15" s="93">
        <f>IF(N15&lt;0.625,N15*'bases de donnée'!$E$14,(0.583333*'bases de donnée'!$E$14)+(N15-0.583333)*'bases de donnée'!$E$15)*24</f>
        <v>0</v>
      </c>
    </row>
    <row r="16" spans="1:20" x14ac:dyDescent="0.3">
      <c r="B16" s="70"/>
      <c r="C16" s="71"/>
      <c r="D16" s="72" t="s">
        <v>72</v>
      </c>
      <c r="E16" s="22"/>
      <c r="F16" s="90"/>
      <c r="G16" s="91"/>
      <c r="H16" s="85" t="s">
        <v>74</v>
      </c>
    </row>
    <row r="17" spans="2:20" x14ac:dyDescent="0.3">
      <c r="B17" s="100"/>
      <c r="C17" s="45" t="s">
        <v>61</v>
      </c>
      <c r="D17" s="100" t="s">
        <v>80</v>
      </c>
      <c r="E17" s="3"/>
      <c r="F17" s="84"/>
      <c r="G17" s="85"/>
      <c r="H17" s="14" t="s">
        <v>58</v>
      </c>
    </row>
    <row r="18" spans="2:20" x14ac:dyDescent="0.3">
      <c r="B18" s="45" t="s">
        <v>66</v>
      </c>
      <c r="C18" s="99">
        <f>SUM(N4:N15)</f>
        <v>1.541666666666667</v>
      </c>
      <c r="D18" s="44">
        <f>SUM(O4:O15)</f>
        <v>2.1666667500000005</v>
      </c>
      <c r="E18" s="20"/>
      <c r="F18" s="86"/>
      <c r="G18" s="85" t="s">
        <v>100</v>
      </c>
      <c r="H18" s="28">
        <f>IF(SUM(C13-'bases de donnée'!E$3)&lt;0,0,SUM(C13-'bases de donnée'!E$3))</f>
        <v>0</v>
      </c>
    </row>
    <row r="19" spans="2:20" x14ac:dyDescent="0.3">
      <c r="B19" s="45" t="s">
        <v>38</v>
      </c>
      <c r="C19" s="43">
        <f>SUMPRODUCT((YEAR('planning '!$D$6:$D$14)='bases de donnée'!E$2)*('planning '!$X$6:$X$14))</f>
        <v>1.0000000000000004</v>
      </c>
      <c r="D19" s="43">
        <f>SUM(C19*'bases de donnée'!E17)*24</f>
        <v>2.5000000000000009</v>
      </c>
      <c r="E19" s="3"/>
      <c r="F19" s="86"/>
      <c r="G19" s="85" t="s">
        <v>77</v>
      </c>
      <c r="H19" s="28">
        <f>SUM('planning '!L5:L14)</f>
        <v>1.4583333333333341</v>
      </c>
      <c r="O19" s="20"/>
    </row>
    <row r="20" spans="2:20" x14ac:dyDescent="0.3">
      <c r="B20" s="45" t="s">
        <v>37</v>
      </c>
      <c r="C20" s="43">
        <f>SUMPRODUCT((YEAR('planning '!$D$6:$D$14)='bases de donnée'!E$2)*('planning '!$Y$6:$Y$14))</f>
        <v>0.45833333333333337</v>
      </c>
      <c r="D20" s="43">
        <f>SUM(C20*'bases de donnée'!E18)*24</f>
        <v>0.91666666666666674</v>
      </c>
      <c r="F20" s="86"/>
      <c r="G20" s="85" t="s">
        <v>76</v>
      </c>
      <c r="H20" s="28">
        <f>SUM('planning '!N5:N14)</f>
        <v>1.1666666666666672</v>
      </c>
      <c r="O20" s="20"/>
    </row>
    <row r="21" spans="2:20" ht="15" thickBot="1" x14ac:dyDescent="0.35">
      <c r="B21" s="45" t="s">
        <v>67</v>
      </c>
      <c r="C21" s="68">
        <f>SUMPRODUCT((YEAR('planning '!$D$6:$D$14)='bases de donnée'!E$2)*('planning '!$Z$6:$Z$14))</f>
        <v>0</v>
      </c>
      <c r="D21" s="68">
        <f>SUM(C21*'bases de donnée'!E19)*24</f>
        <v>0</v>
      </c>
      <c r="F21" s="86"/>
      <c r="G21" s="85" t="s">
        <v>98</v>
      </c>
      <c r="H21" s="124" t="e">
        <f>SUM('planning '!P6+'planning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'!#REF!)</f>
        <v>#REF!</v>
      </c>
      <c r="O21" s="20"/>
    </row>
    <row r="22" spans="2:20" ht="15" thickBot="1" x14ac:dyDescent="0.35">
      <c r="B22" s="69" t="s">
        <v>101</v>
      </c>
      <c r="C22" s="70"/>
      <c r="D22" s="127">
        <v>3.6041666666666665</v>
      </c>
      <c r="F22" s="87"/>
      <c r="G22" s="88" t="s">
        <v>95</v>
      </c>
      <c r="H22" s="83" t="e">
        <f>SUM('planning '!P11+'planning '!#REF!+'planning '!#REF!+'planning '!#REF!+'planning '!#REF!+'planning '!#REF!+'planning '!#REF!+'planning '!#REF!+'planning '!#REF!+'planning '!#REF!+'planning '!#REF!+'planning '!#REF!+'planning '!#REF!+'planning '!#REF!++'planning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'!#REF!+'planning '!#REF!)</f>
        <v>#REF!</v>
      </c>
      <c r="O22" s="20"/>
    </row>
    <row r="23" spans="2:20" x14ac:dyDescent="0.3">
      <c r="B23" s="69" t="s">
        <v>73</v>
      </c>
      <c r="C23" s="110"/>
      <c r="D23" s="126">
        <f>SUM(C6*'bases de donnée'!E5)</f>
        <v>0</v>
      </c>
      <c r="F23" s="84"/>
      <c r="G23" s="89" t="s">
        <v>59</v>
      </c>
      <c r="H23" s="27">
        <f>IF(SUM(H6-'bases de donnée'!E$13)&lt;0,0,SUM(H6-'bases de donnée'!E$13))</f>
        <v>0</v>
      </c>
      <c r="O23" s="20"/>
    </row>
    <row r="24" spans="2:20" x14ac:dyDescent="0.3">
      <c r="C24" s="69" t="s">
        <v>92</v>
      </c>
      <c r="D24" s="43">
        <f>SUM(D18+D19+D20+D21+D22-D23)</f>
        <v>9.1875000833333349</v>
      </c>
      <c r="F24" s="102"/>
      <c r="G24" s="103" t="s">
        <v>78</v>
      </c>
      <c r="H24" s="104" t="e">
        <f>SUM('planning '!#REF!)</f>
        <v>#REF!</v>
      </c>
      <c r="O24" s="128"/>
    </row>
    <row r="25" spans="2:20" x14ac:dyDescent="0.3">
      <c r="F25" s="84"/>
      <c r="G25" s="85" t="s">
        <v>96</v>
      </c>
      <c r="H25" s="27">
        <f>SUM(M4:M15)</f>
        <v>1.7916666666666676</v>
      </c>
      <c r="O25" s="125"/>
      <c r="P25" s="21"/>
    </row>
    <row r="26" spans="2:20" x14ac:dyDescent="0.3">
      <c r="I26" s="58"/>
      <c r="J26" s="58"/>
      <c r="K26" s="58"/>
      <c r="O26" s="128"/>
      <c r="P26" s="21"/>
    </row>
    <row r="27" spans="2:20" x14ac:dyDescent="0.3">
      <c r="O27" s="20"/>
      <c r="P27" s="21"/>
    </row>
    <row r="28" spans="2:20" x14ac:dyDescent="0.3">
      <c r="O28" s="20"/>
      <c r="P28" s="21"/>
    </row>
    <row r="29" spans="2:20" x14ac:dyDescent="0.3">
      <c r="G29" s="3"/>
      <c r="H29" s="3"/>
      <c r="O29" s="20"/>
      <c r="P29" s="21"/>
    </row>
    <row r="30" spans="2:20" x14ac:dyDescent="0.3">
      <c r="G30" s="2"/>
      <c r="H30" s="3"/>
      <c r="O30" s="20"/>
      <c r="P30" s="21"/>
      <c r="Q30" s="1"/>
      <c r="R30" s="2"/>
      <c r="S30" s="3"/>
      <c r="T30" s="3"/>
    </row>
    <row r="31" spans="2:20" x14ac:dyDescent="0.3">
      <c r="O31" s="20"/>
    </row>
    <row r="32" spans="2:20" x14ac:dyDescent="0.3">
      <c r="O32" s="20"/>
    </row>
    <row r="37" spans="1:5" x14ac:dyDescent="0.3">
      <c r="A37" s="1"/>
      <c r="B37" s="2"/>
      <c r="C37" s="2"/>
      <c r="D37" s="2"/>
      <c r="E37" s="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C2:V36"/>
  <sheetViews>
    <sheetView zoomScale="75" zoomScaleNormal="75" workbookViewId="0">
      <selection activeCell="E9" sqref="E9"/>
    </sheetView>
  </sheetViews>
  <sheetFormatPr baseColWidth="10" defaultColWidth="11.44140625" defaultRowHeight="14.4" x14ac:dyDescent="0.3"/>
  <cols>
    <col min="1" max="1" width="6.33203125" style="3" customWidth="1"/>
    <col min="2" max="2" width="8.5546875" style="3" customWidth="1"/>
    <col min="3" max="3" width="14.5546875" style="3" customWidth="1"/>
    <col min="4" max="4" width="21.6640625" style="3" customWidth="1"/>
    <col min="5" max="5" width="13.6640625" style="3" customWidth="1"/>
    <col min="6" max="6" width="9.109375" style="3" customWidth="1"/>
    <col min="7" max="7" width="3.88671875" style="3" customWidth="1"/>
    <col min="8" max="8" width="18.33203125" style="3" customWidth="1"/>
    <col min="9" max="9" width="10.6640625" style="3" customWidth="1"/>
    <col min="10" max="11" width="11.44140625" style="3"/>
    <col min="12" max="12" width="13.33203125" style="3" customWidth="1"/>
    <col min="13" max="13" width="15" style="3" customWidth="1"/>
    <col min="14" max="15" width="11.44140625" style="3"/>
    <col min="16" max="16" width="12.33203125" style="3" customWidth="1"/>
    <col min="17" max="17" width="14.5546875" style="3" customWidth="1"/>
    <col min="18" max="16384" width="11.44140625" style="3"/>
  </cols>
  <sheetData>
    <row r="2" spans="3:15" x14ac:dyDescent="0.3">
      <c r="C2" s="4"/>
      <c r="D2" s="139" t="s">
        <v>99</v>
      </c>
      <c r="E2" s="135">
        <v>2020</v>
      </c>
    </row>
    <row r="3" spans="3:15" x14ac:dyDescent="0.3">
      <c r="C3" s="5"/>
      <c r="D3" s="131" t="s">
        <v>26</v>
      </c>
      <c r="E3" s="114">
        <v>65.833333333333329</v>
      </c>
    </row>
    <row r="4" spans="3:15" x14ac:dyDescent="0.3">
      <c r="C4" s="5"/>
      <c r="D4" s="132" t="s">
        <v>12</v>
      </c>
      <c r="E4" s="136">
        <v>0.5</v>
      </c>
    </row>
    <row r="5" spans="3:15" x14ac:dyDescent="0.3">
      <c r="C5" s="5"/>
      <c r="D5" s="131" t="s">
        <v>18</v>
      </c>
      <c r="E5" s="114">
        <v>0.3</v>
      </c>
      <c r="O5" s="3">
        <f>IF(SUM(O4-'bases de donnée'!E$6)&lt;0,0,SUM(O4-'bases de donnée'!E$6))</f>
        <v>0</v>
      </c>
    </row>
    <row r="6" spans="3:15" x14ac:dyDescent="0.3">
      <c r="C6" s="5"/>
      <c r="D6" s="133" t="s">
        <v>70</v>
      </c>
      <c r="E6" s="137">
        <v>6</v>
      </c>
    </row>
    <row r="7" spans="3:15" x14ac:dyDescent="0.3">
      <c r="C7" s="5"/>
      <c r="D7" s="131" t="s">
        <v>13</v>
      </c>
      <c r="E7" s="136">
        <v>0.41666666666666669</v>
      </c>
    </row>
    <row r="8" spans="3:15" x14ac:dyDescent="0.3">
      <c r="C8" s="5"/>
      <c r="D8" s="131" t="s">
        <v>15</v>
      </c>
      <c r="E8" s="136">
        <v>0.45833333333333331</v>
      </c>
    </row>
    <row r="9" spans="3:15" x14ac:dyDescent="0.3">
      <c r="C9" s="5"/>
      <c r="D9" s="131" t="s">
        <v>17</v>
      </c>
      <c r="E9" s="114">
        <v>1.5416666666666665</v>
      </c>
    </row>
    <row r="10" spans="3:15" x14ac:dyDescent="0.3">
      <c r="C10" s="5"/>
      <c r="D10" s="131" t="s">
        <v>9</v>
      </c>
      <c r="E10" s="114">
        <v>2</v>
      </c>
    </row>
    <row r="11" spans="3:15" x14ac:dyDescent="0.3">
      <c r="C11" s="5"/>
      <c r="D11" s="131" t="s">
        <v>10</v>
      </c>
      <c r="E11" s="114">
        <v>1.4583333333333333</v>
      </c>
    </row>
    <row r="12" spans="3:15" x14ac:dyDescent="0.3">
      <c r="C12" s="5"/>
      <c r="D12" s="131" t="s">
        <v>11</v>
      </c>
      <c r="E12" s="114">
        <v>1.0416666666666667</v>
      </c>
    </row>
    <row r="13" spans="3:15" x14ac:dyDescent="0.3">
      <c r="C13" s="5"/>
      <c r="D13" s="131" t="s">
        <v>19</v>
      </c>
      <c r="E13" s="114">
        <v>10.125</v>
      </c>
    </row>
    <row r="14" spans="3:15" x14ac:dyDescent="0.3">
      <c r="C14" s="5"/>
      <c r="D14" s="134" t="s">
        <v>20</v>
      </c>
      <c r="E14" s="114">
        <v>5.2083333333333336E-2</v>
      </c>
    </row>
    <row r="15" spans="3:15" x14ac:dyDescent="0.3">
      <c r="C15" s="5"/>
      <c r="D15" s="131" t="s">
        <v>21</v>
      </c>
      <c r="E15" s="114">
        <v>6.25E-2</v>
      </c>
    </row>
    <row r="16" spans="3:15" x14ac:dyDescent="0.3">
      <c r="C16" s="5"/>
      <c r="D16" s="131" t="s">
        <v>23</v>
      </c>
      <c r="E16" s="135">
        <v>21</v>
      </c>
    </row>
    <row r="17" spans="3:20" x14ac:dyDescent="0.3">
      <c r="C17" s="5"/>
      <c r="D17" s="131" t="s">
        <v>14</v>
      </c>
      <c r="E17" s="114">
        <v>0.10416666666666667</v>
      </c>
    </row>
    <row r="18" spans="3:20" x14ac:dyDescent="0.3">
      <c r="C18" s="5"/>
      <c r="D18" s="131" t="s">
        <v>16</v>
      </c>
      <c r="E18" s="114">
        <v>8.3333333333333329E-2</v>
      </c>
    </row>
    <row r="19" spans="3:20" x14ac:dyDescent="0.3">
      <c r="C19" s="5"/>
      <c r="D19" s="131" t="s">
        <v>22</v>
      </c>
      <c r="E19" s="114">
        <v>8.3333333333333329E-2</v>
      </c>
    </row>
    <row r="20" spans="3:20" x14ac:dyDescent="0.3">
      <c r="C20" s="6"/>
      <c r="D20" s="133" t="s">
        <v>27</v>
      </c>
      <c r="E20" s="138">
        <v>0</v>
      </c>
    </row>
    <row r="21" spans="3:20" x14ac:dyDescent="0.3">
      <c r="C21" s="5"/>
      <c r="D21" s="133" t="s">
        <v>28</v>
      </c>
      <c r="E21" s="138">
        <v>0</v>
      </c>
    </row>
    <row r="22" spans="3:20" x14ac:dyDescent="0.3">
      <c r="C22" s="5"/>
      <c r="D22" s="133" t="s">
        <v>29</v>
      </c>
      <c r="E22" s="138">
        <f>E5</f>
        <v>0.3</v>
      </c>
    </row>
    <row r="23" spans="3:20" x14ac:dyDescent="0.3">
      <c r="C23" s="5"/>
      <c r="D23" s="133" t="s">
        <v>30</v>
      </c>
      <c r="E23" s="138">
        <f>E5</f>
        <v>0.3</v>
      </c>
    </row>
    <row r="24" spans="3:20" x14ac:dyDescent="0.3">
      <c r="C24" s="5"/>
      <c r="D24" s="133" t="s">
        <v>31</v>
      </c>
      <c r="E24" s="138">
        <v>0.16388888888888889</v>
      </c>
    </row>
    <row r="25" spans="3:20" x14ac:dyDescent="0.3">
      <c r="C25" s="5"/>
      <c r="D25" s="133" t="s">
        <v>32</v>
      </c>
      <c r="E25" s="138">
        <v>0.22500000000000001</v>
      </c>
    </row>
    <row r="26" spans="3:20" x14ac:dyDescent="0.3">
      <c r="C26" s="5"/>
      <c r="D26" s="133" t="s">
        <v>33</v>
      </c>
      <c r="E26" s="138">
        <f>E5</f>
        <v>0.3</v>
      </c>
    </row>
    <row r="27" spans="3:20" x14ac:dyDescent="0.3">
      <c r="C27" s="5"/>
      <c r="D27" s="133" t="s">
        <v>34</v>
      </c>
      <c r="E27" s="138">
        <f>E5</f>
        <v>0.3</v>
      </c>
    </row>
    <row r="28" spans="3:20" x14ac:dyDescent="0.3">
      <c r="C28" s="5"/>
      <c r="D28" s="133" t="s">
        <v>35</v>
      </c>
      <c r="E28" s="138">
        <f>E5</f>
        <v>0.3</v>
      </c>
    </row>
    <row r="29" spans="3:20" x14ac:dyDescent="0.3">
      <c r="C29" s="5"/>
      <c r="D29" s="133" t="s">
        <v>36</v>
      </c>
      <c r="E29" s="138">
        <v>0</v>
      </c>
    </row>
    <row r="30" spans="3:20" x14ac:dyDescent="0.3">
      <c r="C30" s="5"/>
      <c r="D30" s="133" t="s">
        <v>84</v>
      </c>
      <c r="E30" s="114">
        <f>E5</f>
        <v>0.3</v>
      </c>
      <c r="I30" s="2"/>
      <c r="J30" s="2"/>
      <c r="Q30" s="23"/>
      <c r="R30" s="21"/>
      <c r="S30" s="1"/>
      <c r="T30" s="2"/>
    </row>
    <row r="31" spans="3:20" x14ac:dyDescent="0.3">
      <c r="C31" s="5"/>
      <c r="D31" s="133" t="s">
        <v>85</v>
      </c>
      <c r="E31" s="114">
        <v>0</v>
      </c>
      <c r="I31" s="2"/>
      <c r="J31" s="2"/>
      <c r="K31" s="2"/>
      <c r="L31" s="2"/>
      <c r="M31" s="2"/>
      <c r="N31" s="2"/>
      <c r="O31" s="2"/>
      <c r="Q31" s="23"/>
      <c r="R31" s="21"/>
      <c r="S31" s="1"/>
      <c r="T31" s="2"/>
    </row>
    <row r="32" spans="3:20" x14ac:dyDescent="0.3">
      <c r="C32" s="7"/>
      <c r="D32" s="140" t="s">
        <v>83</v>
      </c>
      <c r="E32" s="114">
        <f>E5</f>
        <v>0.3</v>
      </c>
      <c r="I32" s="2"/>
      <c r="J32" s="2"/>
      <c r="K32" s="2"/>
      <c r="L32" s="2"/>
      <c r="M32" s="2"/>
      <c r="N32" s="2"/>
      <c r="O32" s="2"/>
      <c r="Q32" s="23"/>
      <c r="R32" s="21"/>
      <c r="S32" s="1"/>
      <c r="T32" s="2"/>
    </row>
    <row r="33" spans="9:22" x14ac:dyDescent="0.3">
      <c r="I33" s="8"/>
      <c r="J33" s="2"/>
      <c r="K33" s="2"/>
      <c r="L33" s="2"/>
      <c r="M33" s="2"/>
      <c r="N33" s="2"/>
      <c r="O33" s="2"/>
      <c r="Q33" s="23"/>
      <c r="R33" s="21"/>
      <c r="S33" s="1"/>
      <c r="T33" s="2"/>
    </row>
    <row r="34" spans="9:22" x14ac:dyDescent="0.3">
      <c r="I34" s="8"/>
      <c r="J34" s="8"/>
      <c r="K34" s="8"/>
      <c r="L34" s="2"/>
      <c r="M34" s="2"/>
      <c r="N34" s="2"/>
      <c r="O34" s="2"/>
      <c r="Q34" s="23"/>
      <c r="R34" s="21"/>
      <c r="S34" s="1"/>
      <c r="T34" s="2"/>
      <c r="U34" s="2"/>
      <c r="V34" s="2"/>
    </row>
    <row r="35" spans="9:22" x14ac:dyDescent="0.3">
      <c r="I35" s="2"/>
      <c r="J35" s="2"/>
      <c r="K35" s="2"/>
      <c r="L35" s="2"/>
      <c r="M35" s="2"/>
      <c r="N35" s="2"/>
      <c r="O35" s="2"/>
      <c r="Q35" s="23"/>
      <c r="R35" s="21"/>
      <c r="S35" s="1"/>
      <c r="T35" s="2"/>
      <c r="U35" s="2"/>
      <c r="V35" s="2"/>
    </row>
    <row r="36" spans="9:22" x14ac:dyDescent="0.3">
      <c r="Q36" s="23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planning </vt:lpstr>
      <vt:lpstr>résultat </vt:lpstr>
      <vt:lpstr>bases de donnée</vt:lpstr>
      <vt:lpstr>gérald</vt:lpstr>
      <vt:lpstr>gérald1</vt:lpstr>
      <vt:lpstr>gerald2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gerald</dc:creator>
  <cp:lastModifiedBy>victorine</cp:lastModifiedBy>
  <dcterms:created xsi:type="dcterms:W3CDTF">2016-10-24T13:04:51Z</dcterms:created>
  <dcterms:modified xsi:type="dcterms:W3CDTF">2020-01-27T21:21:00Z</dcterms:modified>
</cp:coreProperties>
</file>