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13_ncr:1_{0F87E557-785C-4FFC-9A1F-12DB4FCE327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planning " sheetId="1" r:id="rId1"/>
    <sheet name="résultat " sheetId="4" r:id="rId2"/>
    <sheet name="bases de donnée" sheetId="3" r:id="rId3"/>
  </sheets>
  <definedNames>
    <definedName name="_xlnm._FilterDatabase" localSheetId="0" hidden="1">'planning '!$B$5:$D$11</definedName>
    <definedName name="gérald">'bases de donnée'!$D$20:$D$29</definedName>
    <definedName name="gérald1">'bases de donnée'!$D$20:$E$29</definedName>
    <definedName name="gerald2">'bases de donnée'!$D$20:$D$32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L24" i="1" l="1"/>
  <c r="M24" i="1" s="1"/>
  <c r="J24" i="1"/>
  <c r="K24" i="1" s="1"/>
  <c r="L23" i="1"/>
  <c r="M23" i="1" s="1"/>
  <c r="J23" i="1"/>
  <c r="K23" i="1" s="1"/>
  <c r="L22" i="1"/>
  <c r="M22" i="1" s="1"/>
  <c r="J22" i="1"/>
  <c r="K22" i="1" s="1"/>
  <c r="L21" i="1"/>
  <c r="M21" i="1" s="1"/>
  <c r="J21" i="1"/>
  <c r="K21" i="1" s="1"/>
  <c r="L20" i="1"/>
  <c r="M20" i="1" s="1"/>
  <c r="J20" i="1"/>
  <c r="K20" i="1" s="1"/>
  <c r="L19" i="1"/>
  <c r="M19" i="1" s="1"/>
  <c r="J19" i="1"/>
  <c r="K19" i="1" s="1"/>
  <c r="L18" i="1"/>
  <c r="M18" i="1" s="1"/>
  <c r="J18" i="1"/>
  <c r="K18" i="1" s="1"/>
  <c r="J6" i="1"/>
  <c r="K6" i="1" s="1"/>
  <c r="L6" i="1"/>
  <c r="M6" i="1" s="1"/>
  <c r="J7" i="1"/>
  <c r="K7" i="1" s="1"/>
  <c r="L7" i="1"/>
  <c r="M7" i="1" s="1"/>
  <c r="J8" i="1"/>
  <c r="K8" i="1" s="1"/>
  <c r="L8" i="1"/>
  <c r="M8" i="1" s="1"/>
  <c r="J9" i="1"/>
  <c r="K9" i="1" s="1"/>
  <c r="L9" i="1"/>
  <c r="M9" i="1" s="1"/>
  <c r="J10" i="1"/>
  <c r="K10" i="1" s="1"/>
  <c r="L10" i="1"/>
  <c r="M10" i="1" s="1"/>
  <c r="J11" i="1"/>
  <c r="K11" i="1" s="1"/>
  <c r="L11" i="1"/>
  <c r="M11" i="1" s="1"/>
  <c r="L5" i="1"/>
  <c r="M5" i="1" s="1"/>
  <c r="J5" i="1"/>
  <c r="K5" i="1" s="1"/>
  <c r="T24" i="1" l="1"/>
  <c r="R24" i="1"/>
  <c r="W24" i="1" s="1"/>
  <c r="P24" i="1"/>
  <c r="S24" i="1"/>
  <c r="T23" i="1"/>
  <c r="R23" i="1"/>
  <c r="W23" i="1" s="1"/>
  <c r="P23" i="1"/>
  <c r="O23" i="1"/>
  <c r="T22" i="1"/>
  <c r="R22" i="1"/>
  <c r="W22" i="1" s="1"/>
  <c r="P22" i="1"/>
  <c r="T21" i="1"/>
  <c r="R21" i="1"/>
  <c r="W21" i="1" s="1"/>
  <c r="P21" i="1"/>
  <c r="T20" i="1"/>
  <c r="R20" i="1"/>
  <c r="W20" i="1" s="1"/>
  <c r="P20" i="1"/>
  <c r="T19" i="1"/>
  <c r="R19" i="1"/>
  <c r="W19" i="1" s="1"/>
  <c r="P19" i="1"/>
  <c r="T18" i="1"/>
  <c r="R18" i="1"/>
  <c r="W18" i="1" s="1"/>
  <c r="P18" i="1"/>
  <c r="C18" i="1"/>
  <c r="E18" i="1" s="1"/>
  <c r="I18" i="1" l="1"/>
  <c r="Y19" i="1"/>
  <c r="X24" i="1"/>
  <c r="O18" i="1"/>
  <c r="O19" i="1" s="1"/>
  <c r="Y20" i="1"/>
  <c r="Y24" i="1"/>
  <c r="Y18" i="1"/>
  <c r="Z18" i="1" s="1"/>
  <c r="Y22" i="1"/>
  <c r="Y23" i="1"/>
  <c r="Y21" i="1"/>
  <c r="N18" i="1"/>
  <c r="N19" i="1" s="1"/>
  <c r="C19" i="1"/>
  <c r="E19" i="1" l="1"/>
  <c r="I19" i="1"/>
  <c r="C20" i="1"/>
  <c r="E20" i="1" s="1"/>
  <c r="N20" i="1"/>
  <c r="U19" i="1"/>
  <c r="Z19" i="1" s="1"/>
  <c r="U20" i="1" l="1"/>
  <c r="Z20" i="1" s="1"/>
  <c r="N21" i="1"/>
  <c r="C21" i="1"/>
  <c r="E21" i="1" s="1"/>
  <c r="I20" i="1"/>
  <c r="I21" i="1" l="1"/>
  <c r="C22" i="1"/>
  <c r="E22" i="1" s="1"/>
  <c r="N22" i="1"/>
  <c r="U21" i="1"/>
  <c r="Z21" i="1" s="1"/>
  <c r="U22" i="1" l="1"/>
  <c r="Z22" i="1" s="1"/>
  <c r="N23" i="1"/>
  <c r="C23" i="1"/>
  <c r="E23" i="1" s="1"/>
  <c r="I22" i="1"/>
  <c r="C24" i="1" l="1"/>
  <c r="E24" i="1" s="1"/>
  <c r="I23" i="1"/>
  <c r="U23" i="1"/>
  <c r="Z23" i="1" s="1"/>
  <c r="N24" i="1"/>
  <c r="O24" i="1" s="1"/>
  <c r="I24" i="1" l="1"/>
  <c r="U24" i="1"/>
  <c r="Z24" i="1" s="1"/>
  <c r="O21" i="1"/>
  <c r="P5" i="1" l="1"/>
  <c r="C5" i="1" l="1"/>
  <c r="I5" i="1" l="1"/>
  <c r="E5" i="1"/>
  <c r="G11" i="4"/>
  <c r="G9" i="4"/>
  <c r="G10" i="4"/>
  <c r="G5" i="4"/>
  <c r="G4" i="4"/>
  <c r="G3" i="4"/>
  <c r="C10" i="4"/>
  <c r="C9" i="4"/>
  <c r="C7" i="4"/>
  <c r="C8" i="4"/>
  <c r="C6" i="4"/>
  <c r="C5" i="4"/>
  <c r="C4" i="4"/>
  <c r="P6" i="1" l="1"/>
  <c r="P7" i="1"/>
  <c r="P8" i="1"/>
  <c r="P9" i="1"/>
  <c r="P10" i="1"/>
  <c r="P11" i="1"/>
  <c r="D23" i="4" l="1"/>
  <c r="H4" i="4"/>
  <c r="H5" i="4"/>
  <c r="G6" i="4" l="1"/>
  <c r="G13" i="4"/>
  <c r="G12" i="4"/>
  <c r="C12" i="4" l="1"/>
  <c r="E32" i="3"/>
  <c r="E30" i="3"/>
  <c r="H24" i="4" l="1"/>
  <c r="O5" i="3" l="1"/>
  <c r="O5" i="1" l="1"/>
  <c r="O6" i="1" l="1"/>
  <c r="H21" i="4" s="1"/>
  <c r="H3" i="4"/>
  <c r="H6" i="4" s="1"/>
  <c r="H23" i="4" l="1"/>
  <c r="T11" i="1" l="1"/>
  <c r="R11" i="1"/>
  <c r="T10" i="1"/>
  <c r="R10" i="1"/>
  <c r="W10" i="1" s="1"/>
  <c r="O10" i="1"/>
  <c r="T9" i="1"/>
  <c r="R9" i="1"/>
  <c r="W9" i="1" s="1"/>
  <c r="T8" i="1"/>
  <c r="R8" i="1"/>
  <c r="W8" i="1" s="1"/>
  <c r="T7" i="1"/>
  <c r="R7" i="1"/>
  <c r="W7" i="1" s="1"/>
  <c r="T6" i="1"/>
  <c r="R6" i="1"/>
  <c r="W6" i="1" s="1"/>
  <c r="T5" i="1"/>
  <c r="R5" i="1"/>
  <c r="W5" i="1" s="1"/>
  <c r="N5" i="1" l="1"/>
  <c r="S11" i="1"/>
  <c r="X11" i="1" s="1"/>
  <c r="W11" i="1"/>
  <c r="Y10" i="1"/>
  <c r="Y7" i="1"/>
  <c r="Y5" i="1"/>
  <c r="Y8" i="1"/>
  <c r="Y9" i="1"/>
  <c r="Y6" i="1"/>
  <c r="Y11" i="1" l="1"/>
  <c r="Z5" i="1"/>
  <c r="E27" i="3" l="1"/>
  <c r="E26" i="3"/>
  <c r="E28" i="3"/>
  <c r="E23" i="3"/>
  <c r="E22" i="3"/>
  <c r="N6" i="1" l="1"/>
  <c r="U6" i="1" s="1"/>
  <c r="N7" i="1" l="1"/>
  <c r="U7" i="1" s="1"/>
  <c r="Z6" i="1"/>
  <c r="N8" i="1" l="1"/>
  <c r="H20" i="4"/>
  <c r="N9" i="1" l="1"/>
  <c r="N10" i="1" s="1"/>
  <c r="U8" i="1"/>
  <c r="Z8" i="1" s="1"/>
  <c r="Z7" i="1"/>
  <c r="U9" i="1" l="1"/>
  <c r="U10" i="1" s="1"/>
  <c r="N11" i="1"/>
  <c r="O11" i="1" s="1"/>
  <c r="Z9" i="1" l="1"/>
  <c r="U11" i="1"/>
  <c r="Z10" i="1"/>
  <c r="O8" i="1"/>
  <c r="Z11" i="1" l="1"/>
  <c r="H19" i="4" l="1"/>
  <c r="H22" i="4"/>
  <c r="R3" i="4" l="1"/>
  <c r="R4" i="4"/>
  <c r="R5" i="4" l="1"/>
  <c r="C6" i="1"/>
  <c r="I6" i="1" l="1"/>
  <c r="E6" i="1"/>
  <c r="C7" i="1"/>
  <c r="I7" i="1" l="1"/>
  <c r="E7" i="1"/>
  <c r="C8" i="1"/>
  <c r="E8" i="1" l="1"/>
  <c r="I8" i="1"/>
  <c r="C9" i="1"/>
  <c r="I9" i="1" l="1"/>
  <c r="E9" i="1"/>
  <c r="C10" i="1"/>
  <c r="E10" i="1" l="1"/>
  <c r="I10" i="1"/>
  <c r="C11" i="1"/>
  <c r="I11" i="1" l="1"/>
  <c r="C20" i="4"/>
  <c r="D20" i="4" s="1"/>
  <c r="N9" i="4"/>
  <c r="O9" i="4" s="1"/>
  <c r="N13" i="4"/>
  <c r="O13" i="4" s="1"/>
  <c r="L7" i="4"/>
  <c r="M7" i="4" s="1"/>
  <c r="N10" i="4"/>
  <c r="O10" i="4" s="1"/>
  <c r="N11" i="4"/>
  <c r="O11" i="4" s="1"/>
  <c r="L11" i="4"/>
  <c r="M11" i="4" s="1"/>
  <c r="L15" i="4"/>
  <c r="M15" i="4" s="1"/>
  <c r="N14" i="4"/>
  <c r="O14" i="4" s="1"/>
  <c r="N4" i="4"/>
  <c r="L10" i="4"/>
  <c r="M10" i="4" s="1"/>
  <c r="N15" i="4"/>
  <c r="O15" i="4" s="1"/>
  <c r="N7" i="4"/>
  <c r="O7" i="4" s="1"/>
  <c r="N12" i="4"/>
  <c r="O12" i="4" s="1"/>
  <c r="N6" i="4"/>
  <c r="O6" i="4" s="1"/>
  <c r="L14" i="4"/>
  <c r="M14" i="4" s="1"/>
  <c r="C19" i="4"/>
  <c r="D19" i="4" s="1"/>
  <c r="L13" i="4"/>
  <c r="M13" i="4" s="1"/>
  <c r="N8" i="4"/>
  <c r="O8" i="4" s="1"/>
  <c r="L12" i="4"/>
  <c r="M12" i="4" s="1"/>
  <c r="L5" i="4"/>
  <c r="M5" i="4" s="1"/>
  <c r="L6" i="4"/>
  <c r="M6" i="4" s="1"/>
  <c r="L4" i="4"/>
  <c r="M4" i="4" s="1"/>
  <c r="N5" i="4"/>
  <c r="O5" i="4" s="1"/>
  <c r="L9" i="4"/>
  <c r="M9" i="4" s="1"/>
  <c r="C21" i="4"/>
  <c r="D21" i="4" s="1"/>
  <c r="L8" i="4"/>
  <c r="M8" i="4" s="1"/>
  <c r="J13" i="1" l="1"/>
  <c r="C13" i="4" s="1"/>
  <c r="H18" i="4" s="1"/>
  <c r="O4" i="4"/>
  <c r="D18" i="4" s="1"/>
  <c r="D24" i="4" s="1"/>
  <c r="C18" i="4"/>
  <c r="H25" i="4"/>
</calcChain>
</file>

<file path=xl/sharedStrings.xml><?xml version="1.0" encoding="utf-8"?>
<sst xmlns="http://schemas.openxmlformats.org/spreadsheetml/2006/main" count="159" uniqueCount="97">
  <si>
    <t>pause</t>
  </si>
  <si>
    <t>date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</si>
  <si>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</si>
  <si>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</si>
  <si>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</si>
  <si>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</si>
  <si>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</si>
  <si>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</si>
  <si>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</si>
  <si>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</si>
  <si>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</si>
  <si>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</si>
  <si>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</si>
  <si>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</si>
  <si>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</si>
  <si>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</si>
  <si>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</si>
  <si>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</si>
  <si>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</si>
  <si>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</si>
  <si>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</si>
  <si>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</si>
  <si>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</si>
  <si>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</si>
  <si>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</si>
  <si>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</si>
  <si>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</si>
  <si>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</si>
  <si>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</si>
  <si>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</si>
  <si>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dimanche</t>
  </si>
  <si>
    <t>H nuit</t>
  </si>
  <si>
    <t xml:space="preserve">H dimanche </t>
  </si>
  <si>
    <t>H sup + 36</t>
  </si>
  <si>
    <t>H Jour</t>
  </si>
  <si>
    <t>H amp</t>
  </si>
  <si>
    <t>H férié travaillé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</si>
  <si>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</si>
  <si>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</si>
  <si>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</si>
  <si>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</si>
  <si>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</si>
  <si>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</si>
  <si>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</si>
  <si>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</si>
  <si>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</si>
  <si>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</si>
  <si>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</si>
  <si>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</si>
  <si>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</si>
  <si>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</si>
  <si>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</si>
  <si>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congé</t>
  </si>
  <si>
    <t>jours</t>
  </si>
  <si>
    <t>heures</t>
  </si>
  <si>
    <t>Heures suplémentaires réels</t>
  </si>
  <si>
    <t>H sup + 36h</t>
  </si>
  <si>
    <t>hs  semaine</t>
  </si>
  <si>
    <t>résultat suite à la réglementation depuis 2008</t>
  </si>
  <si>
    <t>HS + 36</t>
  </si>
  <si>
    <t xml:space="preserve">H férié travaillé </t>
  </si>
  <si>
    <t>résultat en jours</t>
  </si>
  <si>
    <t xml:space="preserve">j semaine </t>
  </si>
  <si>
    <t>jour semaine maximun</t>
  </si>
  <si>
    <t>H semaine hc de</t>
  </si>
  <si>
    <t>résultat récupération sur l'année</t>
  </si>
  <si>
    <t xml:space="preserve">récup pris </t>
  </si>
  <si>
    <t>résultat des heures hors cadre sur l'année</t>
  </si>
  <si>
    <t xml:space="preserve">H sup + 36 </t>
  </si>
  <si>
    <t>amplitude jour +12 h</t>
  </si>
  <si>
    <t>jour +10 h</t>
  </si>
  <si>
    <t>repos journalier /hebdo</t>
  </si>
  <si>
    <t xml:space="preserve">h sup </t>
  </si>
  <si>
    <t>heures majoré</t>
  </si>
  <si>
    <t xml:space="preserve">mois </t>
  </si>
  <si>
    <t>hs +36 réel</t>
  </si>
  <si>
    <t>congé de naissance</t>
  </si>
  <si>
    <t>congé parentale</t>
  </si>
  <si>
    <t>congé parentale week end</t>
  </si>
  <si>
    <t>résultat</t>
  </si>
  <si>
    <t>résultat congé parentale</t>
  </si>
  <si>
    <t>résultat congé naissance</t>
  </si>
  <si>
    <t>congé = 243 h</t>
  </si>
  <si>
    <t>congé parentale 11 jours - naissance 3 jours</t>
  </si>
  <si>
    <t>résultat sur l'année en heures</t>
  </si>
  <si>
    <t xml:space="preserve">résutat </t>
  </si>
  <si>
    <t xml:space="preserve"> jours sur l'année</t>
  </si>
  <si>
    <t>hs +36    réglementation 2018</t>
  </si>
  <si>
    <t>heures semaine + 48h</t>
  </si>
  <si>
    <t>h sup mois + 25h</t>
  </si>
  <si>
    <t>perte heures non majoré suite à la réglementation 2008</t>
  </si>
  <si>
    <t>jours hedbomadaire + 6 jours</t>
  </si>
  <si>
    <t>année</t>
  </si>
  <si>
    <t>travail annuel +1580 h</t>
  </si>
  <si>
    <t>Heures supplémenatires  2018</t>
  </si>
  <si>
    <t>mois</t>
  </si>
  <si>
    <t>Equivaut à I18 - 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</si>
</sst>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[$-40C]d\-mmm;@"/>
    <numFmt numFmtId="166" formatCode="d\ &quot;j.&quot;dd/mm/yy\ hh:mm"/>
    <numFmt numFmtId="167" formatCode="[$-40C]hh:mm"/>
    <numFmt numFmtId="168" formatCode="dddd\ d\ 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4" fillId="2" borderId="10" xfId="0" applyFont="1" applyFill="1" applyBorder="1"/>
    <xf numFmtId="0" fontId="4" fillId="2" borderId="7" xfId="0" applyFont="1" applyFill="1" applyBorder="1"/>
    <xf numFmtId="0" fontId="4" fillId="2" borderId="7" xfId="0" applyFont="1" applyFill="1" applyBorder="1" applyAlignment="1">
      <alignment horizontal="right"/>
    </xf>
    <xf numFmtId="0" fontId="4" fillId="2" borderId="9" xfId="0" applyFont="1" applyFill="1" applyBorder="1"/>
    <xf numFmtId="164" fontId="1" fillId="0" borderId="0" xfId="0" applyNumberFormat="1" applyFont="1"/>
    <xf numFmtId="0" fontId="0" fillId="4" borderId="4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1" fillId="0" borderId="12" xfId="0" applyFont="1" applyBorder="1"/>
    <xf numFmtId="0" fontId="5" fillId="0" borderId="3" xfId="0" applyFont="1" applyBorder="1" applyAlignment="1">
      <alignment horizontal="left"/>
    </xf>
    <xf numFmtId="0" fontId="6" fillId="0" borderId="0" xfId="0" applyFont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64" fontId="0" fillId="9" borderId="10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9" borderId="3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5" fillId="0" borderId="12" xfId="0" applyFont="1" applyBorder="1" applyAlignment="1">
      <alignment horizontal="left"/>
    </xf>
    <xf numFmtId="164" fontId="0" fillId="4" borderId="1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10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2" xfId="0" applyFont="1" applyBorder="1"/>
    <xf numFmtId="164" fontId="0" fillId="4" borderId="3" xfId="0" applyNumberForma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12" xfId="0" applyFill="1" applyBorder="1"/>
    <xf numFmtId="0" fontId="0" fillId="6" borderId="1" xfId="0" applyFill="1" applyBorder="1" applyAlignment="1">
      <alignment horizontal="right"/>
    </xf>
    <xf numFmtId="0" fontId="0" fillId="11" borderId="3" xfId="0" applyFill="1" applyBorder="1"/>
    <xf numFmtId="0" fontId="0" fillId="11" borderId="2" xfId="0" applyFill="1" applyBorder="1" applyAlignment="1">
      <alignment horizontal="right"/>
    </xf>
    <xf numFmtId="0" fontId="0" fillId="11" borderId="1" xfId="0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center"/>
    </xf>
    <xf numFmtId="164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right"/>
    </xf>
    <xf numFmtId="164" fontId="0" fillId="11" borderId="1" xfId="0" applyNumberFormat="1" applyFill="1" applyBorder="1" applyAlignment="1">
      <alignment horizontal="center"/>
    </xf>
    <xf numFmtId="164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center"/>
    </xf>
    <xf numFmtId="0" fontId="0" fillId="11" borderId="7" xfId="0" applyFill="1" applyBorder="1"/>
    <xf numFmtId="164" fontId="1" fillId="3" borderId="11" xfId="0" applyNumberFormat="1" applyFont="1" applyFill="1" applyBorder="1" applyAlignment="1">
      <alignment horizontal="center"/>
    </xf>
    <xf numFmtId="0" fontId="0" fillId="7" borderId="3" xfId="0" applyFill="1" applyBorder="1"/>
    <xf numFmtId="0" fontId="0" fillId="7" borderId="2" xfId="0" applyFill="1" applyBorder="1" applyAlignment="1">
      <alignment horizontal="right"/>
    </xf>
    <xf numFmtId="0" fontId="1" fillId="7" borderId="3" xfId="0" applyFont="1" applyFill="1" applyBorder="1"/>
    <xf numFmtId="0" fontId="1" fillId="7" borderId="7" xfId="0" applyFont="1" applyFill="1" applyBorder="1"/>
    <xf numFmtId="0" fontId="0" fillId="7" borderId="8" xfId="0" applyFill="1" applyBorder="1" applyAlignment="1">
      <alignment horizontal="right"/>
    </xf>
    <xf numFmtId="0" fontId="0" fillId="7" borderId="12" xfId="0" applyFill="1" applyBorder="1" applyAlignment="1">
      <alignment horizontal="right"/>
    </xf>
    <xf numFmtId="0" fontId="4" fillId="7" borderId="3" xfId="0" applyFont="1" applyFill="1" applyBorder="1"/>
    <xf numFmtId="0" fontId="0" fillId="7" borderId="12" xfId="0" applyFill="1" applyBorder="1"/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2" xfId="0" applyFill="1" applyBorder="1"/>
    <xf numFmtId="0" fontId="0" fillId="5" borderId="6" xfId="0" applyFill="1" applyBorder="1" applyAlignment="1">
      <alignment horizontal="center"/>
    </xf>
    <xf numFmtId="164" fontId="3" fillId="7" borderId="2" xfId="0" applyNumberFormat="1" applyFont="1" applyFill="1" applyBorder="1" applyAlignment="1">
      <alignment horizontal="center"/>
    </xf>
    <xf numFmtId="164" fontId="3" fillId="7" borderId="12" xfId="0" applyNumberFormat="1" applyFont="1" applyFill="1" applyBorder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1" xfId="0" applyFill="1" applyBorder="1"/>
    <xf numFmtId="0" fontId="0" fillId="5" borderId="9" xfId="0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164" fontId="3" fillId="7" borderId="11" xfId="0" applyNumberFormat="1" applyFont="1" applyFill="1" applyBorder="1" applyAlignment="1">
      <alignment horizontal="right"/>
    </xf>
    <xf numFmtId="164" fontId="3" fillId="3" borderId="4" xfId="0" applyNumberFormat="1" applyFont="1" applyFill="1" applyBorder="1" applyAlignment="1">
      <alignment horizontal="center"/>
    </xf>
    <xf numFmtId="0" fontId="0" fillId="12" borderId="3" xfId="0" applyFill="1" applyBorder="1"/>
    <xf numFmtId="0" fontId="0" fillId="12" borderId="2" xfId="0" applyFill="1" applyBorder="1" applyAlignment="1">
      <alignment horizontal="right"/>
    </xf>
    <xf numFmtId="0" fontId="0" fillId="12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0" borderId="3" xfId="0" applyFont="1" applyBorder="1"/>
    <xf numFmtId="0" fontId="0" fillId="6" borderId="6" xfId="0" applyFill="1" applyBorder="1"/>
    <xf numFmtId="0" fontId="0" fillId="5" borderId="2" xfId="0" applyFill="1" applyBorder="1" applyAlignment="1">
      <alignment horizontal="right"/>
    </xf>
    <xf numFmtId="0" fontId="0" fillId="5" borderId="7" xfId="0" applyFill="1" applyBorder="1" applyAlignment="1">
      <alignment horizontal="center"/>
    </xf>
    <xf numFmtId="0" fontId="0" fillId="5" borderId="12" xfId="0" applyFill="1" applyBorder="1" applyAlignment="1">
      <alignment horizontal="right"/>
    </xf>
    <xf numFmtId="164" fontId="4" fillId="0" borderId="1" xfId="0" applyNumberFormat="1" applyFont="1" applyBorder="1" applyAlignment="1">
      <alignment horizontal="center"/>
    </xf>
    <xf numFmtId="0" fontId="3" fillId="11" borderId="1" xfId="0" applyFont="1" applyFill="1" applyBorder="1" applyAlignment="1">
      <alignment horizontal="right"/>
    </xf>
    <xf numFmtId="0" fontId="0" fillId="11" borderId="12" xfId="0" applyFill="1" applyBorder="1"/>
    <xf numFmtId="0" fontId="0" fillId="11" borderId="2" xfId="0" applyFill="1" applyBorder="1"/>
    <xf numFmtId="1" fontId="0" fillId="11" borderId="1" xfId="0" applyNumberForma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11" borderId="11" xfId="0" applyFill="1" applyBorder="1" applyAlignment="1">
      <alignment horizontal="right"/>
    </xf>
    <xf numFmtId="164" fontId="4" fillId="0" borderId="0" xfId="0" applyNumberFormat="1" applyFont="1" applyAlignment="1">
      <alignment horizontal="center"/>
    </xf>
    <xf numFmtId="0" fontId="0" fillId="11" borderId="1" xfId="0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46" fontId="0" fillId="0" borderId="0" xfId="0" applyNumberFormat="1" applyAlignment="1">
      <alignment horizontal="center"/>
    </xf>
    <xf numFmtId="165" fontId="0" fillId="0" borderId="12" xfId="0" applyNumberFormat="1" applyBorder="1" applyAlignment="1">
      <alignment horizont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/>
    </xf>
    <xf numFmtId="164" fontId="4" fillId="2" borderId="0" xfId="0" applyNumberFormat="1" applyFont="1" applyFill="1" applyAlignment="1">
      <alignment horizontal="right"/>
    </xf>
    <xf numFmtId="0" fontId="4" fillId="0" borderId="1" xfId="0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0" fillId="13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68" fontId="2" fillId="6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0" fontId="3" fillId="0" borderId="0" xfId="0" applyFont="1"/>
    <xf numFmtId="1" fontId="2" fillId="3" borderId="6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AD443"/>
  <sheetViews>
    <sheetView tabSelected="1" topLeftCell="C1" zoomScale="80" zoomScaleNormal="80" workbookViewId="0">
      <selection activeCell="H11" sqref="H11"/>
    </sheetView>
  </sheetViews>
  <sheetFormatPr baseColWidth="10" defaultColWidth="11.5703125" defaultRowHeight="15" x14ac:dyDescent="0.25"/>
  <cols>
    <col min="1" max="1" width="2.42578125" style="2" customWidth="1"/>
    <col min="2" max="2" width="9.7109375" style="2" customWidth="1"/>
    <col min="3" max="3" width="18" style="2" customWidth="1"/>
    <col min="4" max="4" width="27.85546875" style="2" customWidth="1"/>
    <col min="5" max="5" width="21.7109375" style="2" customWidth="1"/>
    <col min="6" max="6" width="8.140625" style="2" customWidth="1"/>
    <col min="7" max="7" width="9.5703125" style="2" customWidth="1"/>
    <col min="8" max="8" width="8.85546875" style="2" customWidth="1"/>
    <col min="9" max="9" width="23" style="2" customWidth="1"/>
    <col min="10" max="10" width="15.7109375" style="2" customWidth="1"/>
    <col min="11" max="12" width="7.5703125" style="2" customWidth="1"/>
    <col min="13" max="13" width="7.28515625" style="2" customWidth="1"/>
    <col min="14" max="14" width="13.85546875" style="2" customWidth="1"/>
    <col min="15" max="15" width="17.140625" style="2" customWidth="1"/>
    <col min="16" max="16" width="11.7109375" style="2" customWidth="1"/>
    <col min="17" max="17" width="3.5703125" style="2" customWidth="1"/>
    <col min="18" max="18" width="7.28515625" style="2" customWidth="1"/>
    <col min="19" max="19" width="15.28515625" style="2" customWidth="1"/>
    <col min="20" max="20" width="17.42578125" style="2" customWidth="1"/>
    <col min="21" max="21" width="13" style="1" customWidth="1"/>
    <col min="22" max="22" width="5.7109375" style="2" customWidth="1"/>
    <col min="23" max="23" width="8.140625" style="2" customWidth="1"/>
    <col min="24" max="24" width="13.85546875" style="2" customWidth="1"/>
    <col min="25" max="25" width="18.28515625" style="2" customWidth="1"/>
    <col min="26" max="26" width="13.42578125" style="2" customWidth="1"/>
    <col min="27" max="27" width="5.7109375" style="2" customWidth="1"/>
    <col min="28" max="28" width="14.85546875" style="2" customWidth="1"/>
    <col min="29" max="29" width="18.28515625" style="2" customWidth="1"/>
    <col min="30" max="30" width="13.7109375" style="2" customWidth="1"/>
    <col min="31" max="16384" width="11.5703125" style="2"/>
  </cols>
  <sheetData>
    <row r="2" spans="2:30" ht="21" x14ac:dyDescent="0.35">
      <c r="AA2" s="27"/>
    </row>
    <row r="3" spans="2:30" ht="15.75" x14ac:dyDescent="0.25">
      <c r="R3" s="98"/>
      <c r="S3" s="38" t="s">
        <v>55</v>
      </c>
      <c r="T3" s="25"/>
      <c r="U3" s="28"/>
      <c r="W3" s="26" t="s">
        <v>58</v>
      </c>
      <c r="X3" s="25"/>
      <c r="Y3" s="25"/>
      <c r="Z3" s="51"/>
      <c r="AA3" s="16"/>
    </row>
    <row r="4" spans="2:30" x14ac:dyDescent="0.25">
      <c r="B4" s="132" t="s">
        <v>1</v>
      </c>
      <c r="C4" s="12" t="s">
        <v>1</v>
      </c>
      <c r="D4" s="13"/>
      <c r="E4" s="12"/>
      <c r="F4" s="10" t="s">
        <v>18</v>
      </c>
      <c r="G4" s="10" t="s">
        <v>0</v>
      </c>
      <c r="H4" s="11" t="s">
        <v>17</v>
      </c>
      <c r="I4" s="11"/>
      <c r="J4" s="11" t="s">
        <v>34</v>
      </c>
      <c r="K4" s="144" t="s">
        <v>38</v>
      </c>
      <c r="L4" s="11" t="s">
        <v>35</v>
      </c>
      <c r="M4" s="144" t="s">
        <v>38</v>
      </c>
      <c r="N4" s="13" t="s">
        <v>57</v>
      </c>
      <c r="O4" s="10"/>
      <c r="P4" s="10" t="s">
        <v>62</v>
      </c>
      <c r="R4" s="56" t="s">
        <v>31</v>
      </c>
      <c r="S4" s="13" t="s">
        <v>30</v>
      </c>
      <c r="T4" s="12" t="s">
        <v>36</v>
      </c>
      <c r="U4" s="12" t="s">
        <v>56</v>
      </c>
      <c r="V4" s="16"/>
      <c r="W4" s="12" t="s">
        <v>31</v>
      </c>
      <c r="X4" s="12" t="s">
        <v>32</v>
      </c>
      <c r="Y4" s="13" t="s">
        <v>36</v>
      </c>
      <c r="Z4" s="12" t="s">
        <v>33</v>
      </c>
    </row>
    <row r="5" spans="2:30" x14ac:dyDescent="0.25">
      <c r="B5" s="129" t="s">
        <v>1</v>
      </c>
      <c r="C5" s="136">
        <f>DATE('bases de donnée'!E$2,B8,B6)</f>
        <v>42369</v>
      </c>
      <c r="D5" s="118" t="s">
        <v>21</v>
      </c>
      <c r="E5" s="145" t="str">
        <f>IF(AND(H5="",F5=""),"",C5+F5)</f>
        <v/>
      </c>
      <c r="F5" s="134"/>
      <c r="G5" s="140"/>
      <c r="H5" s="134"/>
      <c r="I5" s="133" t="str">
        <f t="shared" ref="I5:I10" si="0">IF(AND(F5="",H5=""),"",C5+H5+(F5&gt;H5))</f>
        <v/>
      </c>
      <c r="J5" s="137">
        <f>IF(OR(D5="férié travaillé",D5="travail"),(H5+(F5&gt;H5)-F5-G5),INDEX('bases de donnée'!$E$20:$E$32,MATCH(D5,gerald2,0)))</f>
        <v>0</v>
      </c>
      <c r="K5" s="138">
        <f>IF((J5-'bases de donnée'!E$7)&lt;0,0,(J5-'bases de donnée'!E$7))</f>
        <v>0</v>
      </c>
      <c r="L5" s="137">
        <f>IF(OR(D5="férié travaillé",D5="travail"),(H5+(F5&gt;H5)-F5),INDEX('bases de donnée'!$E$20:$E$32,MATCH(D5,gerald2,0)))</f>
        <v>0</v>
      </c>
      <c r="M5" s="139">
        <f>IF((L5-'bases de donnée'!E$4)&lt;0,0,(L5-'bases de donnée'!E$4))</f>
        <v>0</v>
      </c>
      <c r="N5" s="52">
        <f>J5</f>
        <v>0</v>
      </c>
      <c r="O5" s="54">
        <f>SUM(P5:P11)</f>
        <v>1</v>
      </c>
      <c r="P5" s="53">
        <f>IF(AND(F5&lt;&gt;"",H5&lt;&gt;""),1,0+OR(N(F3)&lt;N(H3),D5="récupération",D5="congé 1 jour",D5="congé 1/2 jour ",D5="congé 5h24",D5="arrêt maladie",D5="arrêt travail",D5="férié ",D5="congé parentale",D5="congé de naissance"))</f>
        <v>0</v>
      </c>
      <c r="Q5" s="20"/>
      <c r="R5" s="41">
        <f>IF(SUM(MOD(H5-F5,1)-IF(H5&gt;F5,MAX(0,MIN(H5,'bases de donnée'!E$16/24)-MAX('planning '!F5,7/24)),MAX(0,'bases de donnée'!E$16/24-MAX('planning '!F5,7/24))+MAX(0,MIN('planning '!H5,'bases de donnée'!E$16/24)-7/24)))&lt;0,0,SUM(MOD('planning '!H5-'planning '!F5,1)-IF('planning '!H5&gt;'planning '!F5,MAX(0,MIN('planning '!H5,'bases de donnée'!E$16/24)-MAX('planning '!F5,7/24)),MAX(0,'bases de donnée'!E$16/24-MAX('planning '!F5,7/24))+MAX(0,MIN('planning '!H5,'bases de donnée'!E$16/24)-7/24))))</f>
        <v>0</v>
      </c>
      <c r="S5" s="43"/>
      <c r="T5" s="41" t="str">
        <f>IF(D5&lt;&gt;"travail",IF(D5="férié travaillé",MOD(H5-F5,1)-G5,"00:00"),"00:00")</f>
        <v>00:00</v>
      </c>
      <c r="U5" s="42"/>
      <c r="V5" s="30"/>
      <c r="W5" s="31">
        <f t="shared" ref="W5:W11" si="1">R5</f>
        <v>0</v>
      </c>
      <c r="X5" s="21"/>
      <c r="Y5" s="32">
        <f t="shared" ref="Y5:Y10" si="2">IF(SUM(T5-W5)&lt;0,0,SUM(T5-W5))</f>
        <v>0</v>
      </c>
      <c r="Z5" s="31">
        <f t="shared" ref="Z5:Z10" si="3">IF(SUM(U5-W5-Y5)&lt;0,0,SUM(U5-W5-Y5))</f>
        <v>0</v>
      </c>
      <c r="AA5" s="30"/>
    </row>
    <row r="6" spans="2:30" x14ac:dyDescent="0.25">
      <c r="B6" s="130">
        <v>1</v>
      </c>
      <c r="C6" s="136">
        <f>C5+1</f>
        <v>42370</v>
      </c>
      <c r="D6" s="118" t="s">
        <v>21</v>
      </c>
      <c r="E6" s="145" t="str">
        <f t="shared" ref="E6:E11" si="4">IF(AND(H6="",F6=""),"",C6+F6)</f>
        <v/>
      </c>
      <c r="F6" s="134"/>
      <c r="G6" s="140"/>
      <c r="H6" s="134"/>
      <c r="I6" s="133" t="str">
        <f t="shared" si="0"/>
        <v/>
      </c>
      <c r="J6" s="137">
        <f>IF(OR(D6="férié travaillé",D6="travail"),(H6+(F6&gt;H6)-F6-G6),INDEX('bases de donnée'!$E$20:$E$32,MATCH(D6,gerald2,0)))</f>
        <v>0</v>
      </c>
      <c r="K6" s="138">
        <f>IF((J6-'bases de donnée'!E$7)&lt;0,0,(J6-'bases de donnée'!E$7))</f>
        <v>0</v>
      </c>
      <c r="L6" s="137">
        <f>IF(OR(D6="férié travaillé",D6="travail"),(H6+(F6&gt;H6)-F6),INDEX('bases de donnée'!$E$20:$E$32,MATCH(D6,gerald2,0)))</f>
        <v>0</v>
      </c>
      <c r="M6" s="139">
        <f>IF((L6-'bases de donnée'!E$4)&lt;0,0,(L6-'bases de donnée'!E$4))</f>
        <v>0</v>
      </c>
      <c r="N6" s="46">
        <f>N5+J6</f>
        <v>0</v>
      </c>
      <c r="O6" s="142">
        <f>IF((O5-'bases de donnée'!E$6)&lt;0,0,(O5-'bases de donnée'!E$6))</f>
        <v>0</v>
      </c>
      <c r="P6" s="53">
        <f>IF(AND(F6&lt;&gt;"",H6&lt;&gt;""),1,0+OR(N(H5)&lt;N(F5),D6="récupération",D6="congé 1 jour",D6="congé 1/2 jour ",D6="congé 5h24",D6="arrêt maladie",D6="arrêt travail",D6="férié ",D6="congé parentale",D6="congé de naissance"))</f>
        <v>0</v>
      </c>
      <c r="Q6" s="20"/>
      <c r="R6" s="41">
        <f>IF(SUM(MOD(H6-F6,1)-IF(H6&gt;F6,MAX(0,MIN(H6,'bases de donnée'!E$16/24)-MAX('planning '!F6,7/24)),MAX(0,'bases de donnée'!E$16/24-MAX('planning '!F6,7/24))+MAX(0,MIN('planning '!H6,'bases de donnée'!E$16/24)-7/24)))&lt;0,0,SUM(MOD('planning '!H6-'planning '!F6,1)-IF('planning '!H6&gt;'planning '!F6,MAX(0,MIN('planning '!H6,'bases de donnée'!E$16/24)-MAX('planning '!F6,7/24)),MAX(0,'bases de donnée'!E$16/24-MAX('planning '!F6,7/24))+MAX(0,MIN('planning '!H6,'bases de donnée'!E$16/24)-7/24))))</f>
        <v>0</v>
      </c>
      <c r="S6" s="44"/>
      <c r="T6" s="41" t="str">
        <f>IF(D6&lt;&gt;"travail",IF(D6="férié travaillé",MOD(H6-F6,1)-G6,"00:00"),"00:00")</f>
        <v>00:00</v>
      </c>
      <c r="U6" s="42">
        <f>IF(SUM(IF(N6&gt;('bases de donnée'!E$9*1),N6-('bases de donnée'!E$9*1),0)-U5)&lt;0,0,SUM(IF(N6&gt;('bases de donnée'!E$9*1),N6-('bases de donnée'!E$9*1),0)-U5))</f>
        <v>0</v>
      </c>
      <c r="V6" s="30"/>
      <c r="W6" s="31">
        <f t="shared" si="1"/>
        <v>0</v>
      </c>
      <c r="X6" s="29"/>
      <c r="Y6" s="32">
        <f t="shared" si="2"/>
        <v>0</v>
      </c>
      <c r="Z6" s="31">
        <f t="shared" si="3"/>
        <v>0</v>
      </c>
      <c r="AA6" s="30"/>
    </row>
    <row r="7" spans="2:30" x14ac:dyDescent="0.25">
      <c r="B7" s="129" t="s">
        <v>95</v>
      </c>
      <c r="C7" s="136">
        <f t="shared" ref="C7:C11" si="5">C6+1</f>
        <v>42371</v>
      </c>
      <c r="D7" s="118" t="s">
        <v>21</v>
      </c>
      <c r="E7" s="145" t="str">
        <f t="shared" si="4"/>
        <v/>
      </c>
      <c r="F7" s="134"/>
      <c r="G7" s="140"/>
      <c r="H7" s="134"/>
      <c r="I7" s="133" t="str">
        <f t="shared" si="0"/>
        <v/>
      </c>
      <c r="J7" s="137">
        <f>IF(OR(D7="férié travaillé",D7="travail"),(H7+(F7&gt;H7)-F7-G7),INDEX('bases de donnée'!$E$20:$E$32,MATCH(D7,gerald2,0)))</f>
        <v>0</v>
      </c>
      <c r="K7" s="138">
        <f>IF((J7-'bases de donnée'!E$7)&lt;0,0,(J7-'bases de donnée'!E$7))</f>
        <v>0</v>
      </c>
      <c r="L7" s="137">
        <f>IF(OR(D7="férié travaillé",D7="travail"),(H7+(F7&gt;H7)-F7),INDEX('bases de donnée'!$E$20:$E$32,MATCH(D7,gerald2,0)))</f>
        <v>0</v>
      </c>
      <c r="M7" s="139">
        <f>IF((L7-'bases de donnée'!E$4)&lt;0,0,(L7-'bases de donnée'!E$4))</f>
        <v>0</v>
      </c>
      <c r="N7" s="39">
        <f>N6+J7</f>
        <v>0</v>
      </c>
      <c r="O7" s="55" t="s">
        <v>37</v>
      </c>
      <c r="P7" s="53">
        <f>IF(AND(F7&lt;&gt;"",H7&lt;&gt;""),1,0+OR(N(H6)&lt;N(F6),D7="récupération",D7="congé 1 jour",D7="congé 1/2 jour ",D7="congé 5h24",D7="arrêt maladie",D7="arrêt travail",D7="férié ",D7="congé parentale",D7="congé de naissance"))</f>
        <v>0</v>
      </c>
      <c r="Q7" s="20"/>
      <c r="R7" s="41">
        <f>IF(SUM(MOD(H7-F7,1)-IF(H7&gt;F7,MAX(0,MIN(H7,'bases de donnée'!E$16/24)-MAX('planning '!F7,7/24)),MAX(0,'bases de donnée'!E$16/24-MAX('planning '!F7,7/24))+MAX(0,MIN('planning '!H7,'bases de donnée'!E$16/24)-7/24)))&lt;0,0,SUM(MOD('planning '!H7-'planning '!F7,1)-IF('planning '!H7&gt;'planning '!F7,MAX(0,MIN('planning '!H7,'bases de donnée'!E$16/24)-MAX('planning '!F7,7/24)),MAX(0,'bases de donnée'!E$16/24-MAX('planning '!F7,7/24))+MAX(0,MIN('planning '!H7,'bases de donnée'!E$16/24)-7/24))))</f>
        <v>0</v>
      </c>
      <c r="S7" s="44"/>
      <c r="T7" s="41" t="str">
        <f>IF(D7&lt;&gt;"travail",IF(D7="férié travaillé",MOD(H7-F7,1)-G7,"00:00"),"00:00")</f>
        <v>00:00</v>
      </c>
      <c r="U7" s="42">
        <f>IF(SUM(IF(N7&gt;('bases de donnée'!E$9*1),N7-('bases de donnée'!E$9*1),0)-U6)&lt;0,0,SUM(IF(N7&gt;('bases de donnée'!E$9*1),N7-('bases de donnée'!E$9*1),0)-U5-U6))</f>
        <v>0</v>
      </c>
      <c r="V7" s="30"/>
      <c r="W7" s="31">
        <f t="shared" si="1"/>
        <v>0</v>
      </c>
      <c r="X7" s="29"/>
      <c r="Y7" s="32">
        <f t="shared" si="2"/>
        <v>0</v>
      </c>
      <c r="Z7" s="31">
        <f t="shared" si="3"/>
        <v>0</v>
      </c>
      <c r="AA7" s="30"/>
    </row>
    <row r="8" spans="2:30" x14ac:dyDescent="0.25">
      <c r="B8" s="131">
        <v>1</v>
      </c>
      <c r="C8" s="136">
        <f>C7+1</f>
        <v>42372</v>
      </c>
      <c r="D8" s="118" t="s">
        <v>21</v>
      </c>
      <c r="E8" s="145" t="str">
        <f t="shared" si="4"/>
        <v/>
      </c>
      <c r="F8" s="134"/>
      <c r="G8" s="140"/>
      <c r="H8" s="134"/>
      <c r="I8" s="133" t="str">
        <f t="shared" si="0"/>
        <v/>
      </c>
      <c r="J8" s="137">
        <f>IF(OR(D8="férié travaillé",D8="travail"),(H8+(F8&gt;H8)-F8-G8),INDEX('bases de donnée'!$E$20:$E$32,MATCH(D8,gerald2,0)))</f>
        <v>0</v>
      </c>
      <c r="K8" s="138">
        <f>IF((J8-'bases de donnée'!E$7)&lt;0,0,(J8-'bases de donnée'!E$7))</f>
        <v>0</v>
      </c>
      <c r="L8" s="137">
        <f>IF(OR(D8="férié travaillé",D8="travail"),(H8+(F8&gt;H8)-F8),INDEX('bases de donnée'!$E$20:$E$32,MATCH(D8,gerald2,0)))</f>
        <v>0</v>
      </c>
      <c r="M8" s="139">
        <f>IF((L8-'bases de donnée'!E$4)&lt;0,0,(L8-'bases de donnée'!E$4))</f>
        <v>0</v>
      </c>
      <c r="N8" s="39">
        <f>N7+J8</f>
        <v>0</v>
      </c>
      <c r="O8" s="45">
        <f>N11</f>
        <v>0.33333333333333337</v>
      </c>
      <c r="P8" s="53">
        <f>IF(AND(F8&lt;&gt;"",H8&lt;&gt;""),1,0+OR(N(H7)&lt;N(F7),D8="récupération",D8="congé 1 jour",D8="congé 1/2 jour ",D8="congé 5h24",D8="arrêt maladie",D8="arrêt travail",D8="férié ",D8="congé parentale",D8="congé de naissance"))</f>
        <v>0</v>
      </c>
      <c r="Q8" s="20"/>
      <c r="R8" s="41">
        <f>IF(SUM(MOD(H8-F8,1)-IF(H8&gt;F8,MAX(0,MIN(H8,'bases de donnée'!E$16/24)-MAX('planning '!F8,7/24)),MAX(0,'bases de donnée'!E$16/24-MAX('planning '!F8,7/24))+MAX(0,MIN('planning '!H8,'bases de donnée'!E$16/24)-7/24)))&lt;0,0,SUM(MOD('planning '!H8-'planning '!F8,1)-IF('planning '!H8&gt;'planning '!F8,MAX(0,MIN('planning '!H8,'bases de donnée'!E$16/24)-MAX('planning '!F8,7/24)),MAX(0,'bases de donnée'!E$16/24-MAX('planning '!F8,7/24))+MAX(0,MIN('planning '!H8,'bases de donnée'!E$16/24)-7/24))))</f>
        <v>0</v>
      </c>
      <c r="S8" s="44"/>
      <c r="T8" s="41" t="str">
        <f>IF(D8&lt;&gt;"travail",IF(D8="férié travaillé",MOD(H8-F8,1)-G8,"00:00"),"00:00")</f>
        <v>00:00</v>
      </c>
      <c r="U8" s="42">
        <f>IF(SUM(IF(N8&gt;('bases de donnée'!E$9*1),N8-('bases de donnée'!E$9*1),0)-U7)&lt;0,0,SUM(IF(N8&gt;('bases de donnée'!E$9*1),N8-('bases de donnée'!E$9*1),0)-U5-U6-U7))</f>
        <v>0</v>
      </c>
      <c r="V8" s="30"/>
      <c r="W8" s="31">
        <f t="shared" si="1"/>
        <v>0</v>
      </c>
      <c r="X8" s="29"/>
      <c r="Y8" s="32">
        <f t="shared" si="2"/>
        <v>0</v>
      </c>
      <c r="Z8" s="31">
        <f t="shared" si="3"/>
        <v>0</v>
      </c>
      <c r="AA8" s="30"/>
    </row>
    <row r="9" spans="2:30" x14ac:dyDescent="0.25">
      <c r="B9"/>
      <c r="C9" s="136">
        <f t="shared" si="5"/>
        <v>42373</v>
      </c>
      <c r="D9" s="118" t="s">
        <v>21</v>
      </c>
      <c r="E9" s="145" t="str">
        <f t="shared" si="4"/>
        <v/>
      </c>
      <c r="F9" s="134"/>
      <c r="G9" s="140"/>
      <c r="H9" s="134"/>
      <c r="I9" s="133" t="str">
        <f t="shared" si="0"/>
        <v/>
      </c>
      <c r="J9" s="137">
        <f>IF(OR(D9="férié travaillé",D9="travail"),(H9+(F9&gt;H9)-F9-G9),INDEX('bases de donnée'!$E$20:$E$32,MATCH(D9,gerald2,0)))</f>
        <v>0</v>
      </c>
      <c r="K9" s="138">
        <f>IF((J9-'bases de donnée'!E$7)&lt;0,0,(J9-'bases de donnée'!E$7))</f>
        <v>0</v>
      </c>
      <c r="L9" s="137">
        <f>IF(OR(D9="férié travaillé",D9="travail"),(H9+(F9&gt;H9)-F9),INDEX('bases de donnée'!$E$20:$E$32,MATCH(D9,gerald2,0)))</f>
        <v>0</v>
      </c>
      <c r="M9" s="139">
        <f>IF((L9-'bases de donnée'!E$4)&lt;0,0,(L9-'bases de donnée'!E$4))</f>
        <v>0</v>
      </c>
      <c r="N9" s="39">
        <f>N8+J9</f>
        <v>0</v>
      </c>
      <c r="O9" s="9" t="s">
        <v>64</v>
      </c>
      <c r="P9" s="53">
        <f>IF(AND(F9&lt;&gt;"",H9&lt;&gt;""),1,0+OR(N(H8)&lt;N(F8),D9="récupération",D9="congé 1 jour",D9="congé 1/2 jour ",D9="congé 5h24",D9="arrêt maladie",D9="arrêt travail",D9="férié ",D9="congé parentale",D9="congé de naissance"))</f>
        <v>0</v>
      </c>
      <c r="Q9" s="20"/>
      <c r="R9" s="41">
        <f>IF(SUM(MOD(H9-F9,1)-IF(H9&gt;F9,MAX(0,MIN(H9,'bases de donnée'!E$16/24)-MAX('planning '!F9,7/24)),MAX(0,'bases de donnée'!E$16/24-MAX('planning '!F9,7/24))+MAX(0,MIN('planning '!H9,'bases de donnée'!E$16/24)-7/24)))&lt;0,0,SUM(MOD('planning '!H9-'planning '!F9,1)-IF('planning '!H9&gt;'planning '!F9,MAX(0,MIN('planning '!H9,'bases de donnée'!E$16/24)-MAX('planning '!F9,7/24)),MAX(0,'bases de donnée'!E$16/24-MAX('planning '!F9,7/24))+MAX(0,MIN('planning '!H9,'bases de donnée'!E$16/24)-7/24))))</f>
        <v>0</v>
      </c>
      <c r="S9" s="44"/>
      <c r="T9" s="41" t="str">
        <f>IF(D9&lt;&gt;"travail",IF(D9="férié travaillé",MOD(H9-F9,1)-G9,"00:00"),"00:00")</f>
        <v>00:00</v>
      </c>
      <c r="U9" s="42">
        <f>IF(SUM(IF(N9&gt;('bases de donnée'!E$9*1),N9-('bases de donnée'!E$9*1),0)-U8)&lt;0,0,SUM(IF(N9&gt;('bases de donnée'!E$9*1),N9-('bases de donnée'!E$9*1),0)-U5-U6-U7-U8))</f>
        <v>0</v>
      </c>
      <c r="V9" s="30"/>
      <c r="W9" s="31">
        <f t="shared" si="1"/>
        <v>0</v>
      </c>
      <c r="X9" s="29"/>
      <c r="Y9" s="32">
        <f t="shared" si="2"/>
        <v>0</v>
      </c>
      <c r="Z9" s="31">
        <f t="shared" si="3"/>
        <v>0</v>
      </c>
      <c r="AA9" s="30"/>
    </row>
    <row r="10" spans="2:30" x14ac:dyDescent="0.25">
      <c r="B10"/>
      <c r="C10" s="136">
        <f t="shared" si="5"/>
        <v>42374</v>
      </c>
      <c r="D10" s="118" t="s">
        <v>21</v>
      </c>
      <c r="E10" s="145">
        <f t="shared" si="4"/>
        <v>42374.375</v>
      </c>
      <c r="F10" s="134">
        <v>0.375</v>
      </c>
      <c r="G10" s="140"/>
      <c r="H10" s="134">
        <v>0.70833333333333337</v>
      </c>
      <c r="I10" s="133">
        <f t="shared" si="0"/>
        <v>42374.708333333336</v>
      </c>
      <c r="J10" s="137">
        <f>IF(OR(D10="férié travaillé",D10="travail"),(H10+(F10&gt;H10)-F10-G10),INDEX('bases de donnée'!$E$20:$E$32,MATCH(D10,gerald2,0)))</f>
        <v>0.33333333333333337</v>
      </c>
      <c r="K10" s="138">
        <f>IF((J10-'bases de donnée'!E$7)&lt;0,0,(J10-'bases de donnée'!E$7))</f>
        <v>0</v>
      </c>
      <c r="L10" s="137">
        <f>IF(OR(D10="férié travaillé",D10="travail"),(H10+(F10&gt;H10)-F10),INDEX('bases de donnée'!$E$20:$E$32,MATCH(D10,gerald2,0)))</f>
        <v>0.33333333333333337</v>
      </c>
      <c r="M10" s="139">
        <f>IF((L10-'bases de donnée'!E$4)&lt;0,0,(L10-'bases de donnée'!E$4))</f>
        <v>0</v>
      </c>
      <c r="N10" s="39">
        <f>N9+J10</f>
        <v>0.33333333333333337</v>
      </c>
      <c r="O10" s="33">
        <f>'bases de donnée'!E$10</f>
        <v>2</v>
      </c>
      <c r="P10" s="53">
        <f>IF(AND(F10&lt;&gt;"",H10&lt;&gt;""),1,0+OR(N(H9)&lt;N(F9),D10="récupération",D10="congé 1 jour",D10="congé 1/2 jour ",D10="congé 5h24",D10="arrêt maladie",D10="arrêt travail",D10="férié ",D10="congé parentale",D10="congé de naissance"))</f>
        <v>1</v>
      </c>
      <c r="Q10" s="20"/>
      <c r="R10" s="41">
        <f>IF(SUM(MOD(H10-F10,1)-IF(H10&gt;F10,MAX(0,MIN(H10,'bases de donnée'!E$16/24)-MAX('planning '!F10,7/24)),MAX(0,'bases de donnée'!E$16/24-MAX('planning '!F10,7/24))+MAX(0,MIN('planning '!H10,'bases de donnée'!E$16/24)-7/24)))&lt;0,0,SUM(MOD('planning '!H10-'planning '!F10,1)-IF('planning '!H10&gt;'planning '!F10,MAX(0,MIN('planning '!H10,'bases de donnée'!E$16/24)-MAX('planning '!F10,7/24)),MAX(0,'bases de donnée'!E$16/24-MAX('planning '!F10,7/24))+MAX(0,MIN('planning '!H10,'bases de donnée'!E$16/24)-7/24))))</f>
        <v>0</v>
      </c>
      <c r="S10" s="44"/>
      <c r="T10" s="41" t="str">
        <f>IF(D10&lt;&gt;"travail",IF(D10="férié travaillé",MOD(H10-F10,1)-G10,"00:00"),"00:00")</f>
        <v>00:00</v>
      </c>
      <c r="U10" s="42">
        <f>IF(SUM(IF(N10&gt;('bases de donnée'!E$9*1),N10-('bases de donnée'!E$9*1),0)-U9)&lt;0,0,SUM(IF(N10&gt;('bases de donnée'!E$9*1),N10-('bases de donnée'!E$9*1),0)-U5-U6-U7-U8-U9))</f>
        <v>0</v>
      </c>
      <c r="V10" s="30"/>
      <c r="W10" s="31">
        <f t="shared" si="1"/>
        <v>0</v>
      </c>
      <c r="X10" s="22"/>
      <c r="Y10" s="32">
        <f t="shared" si="2"/>
        <v>0</v>
      </c>
      <c r="Z10" s="31">
        <f t="shared" si="3"/>
        <v>0</v>
      </c>
      <c r="AA10" s="30"/>
    </row>
    <row r="11" spans="2:30" x14ac:dyDescent="0.25">
      <c r="B11"/>
      <c r="C11" s="136">
        <f t="shared" si="5"/>
        <v>42375</v>
      </c>
      <c r="D11" s="118" t="s">
        <v>21</v>
      </c>
      <c r="E11" s="145" t="str">
        <f t="shared" si="4"/>
        <v/>
      </c>
      <c r="F11" s="134"/>
      <c r="G11" s="140"/>
      <c r="H11" s="134"/>
      <c r="I11" s="133" t="str">
        <f>IF(AND(F11="",H11=""),"",C11+H11+(F11&gt;H11))</f>
        <v/>
      </c>
      <c r="J11" s="137">
        <f>IF(OR(D11="férié travaillé",D11="travail"),(H11+(F11&gt;H11)-F11-G11),INDEX('bases de donnée'!$E$20:$E$32,MATCH(D11,gerald2,0)))</f>
        <v>0</v>
      </c>
      <c r="K11" s="138">
        <f>IF((J11-'bases de donnée'!E$7)&lt;0,0,(J11-'bases de donnée'!E$7))</f>
        <v>0</v>
      </c>
      <c r="L11" s="137">
        <f>IF(OR(D11="férié travaillé",D11="travail"),(H11+(F11&gt;H11)-F11),INDEX('bases de donnée'!$E$20:$E$32,MATCH(D11,gerald2,0)))</f>
        <v>0</v>
      </c>
      <c r="M11" s="139">
        <f>IF((L11-'bases de donnée'!E$4)&lt;0,0,(L11-'bases de donnée'!E$4))</f>
        <v>0</v>
      </c>
      <c r="N11" s="39">
        <f>N10+J11</f>
        <v>0.33333333333333337</v>
      </c>
      <c r="O11" s="143">
        <f>IF((N11-'bases de donnée'!E$10)&lt;0,0,(N11-'bases de donnée'!E$10))</f>
        <v>0</v>
      </c>
      <c r="P11" s="53">
        <f>IF(AND(F11&lt;&gt;"",H11&lt;&gt;""),1,0+OR(N(H10)&lt;N(F10),D11="récupération",D11="congé 1 jour",D11="congé 1/2 jour ",D11="congé 5h24",D11="arrêt maladie",D11="arrêt travail",D11="férié ",D11="congé parentale",D11="congé de naissance"))</f>
        <v>0</v>
      </c>
      <c r="Q11" s="20"/>
      <c r="R11" s="41">
        <f>IF(SUM(MOD(H11-F11,1)-IF(H11&gt;F11,MAX(0,MIN(H11,'bases de donnée'!E$16/24)-MAX('planning '!F11,7/24)),MAX(0,'bases de donnée'!E$16/24-MAX('planning '!F11,7/24))+MAX(0,MIN('planning '!H11,'bases de donnée'!E$16/24)-7/24)))&lt;0,0,SUM(MOD('planning '!H11-'planning '!F11,1)-IF('planning '!H11&gt;'planning '!F11,MAX(0,MIN('planning '!H11,'bases de donnée'!E$16/24)-MAX('planning '!F11,7/24)),MAX(0,'bases de donnée'!E$16/24-MAX('planning '!F11,7/24))+MAX(0,MIN('planning '!H11,'bases de donnée'!E$16/24)-7/24))))</f>
        <v>0</v>
      </c>
      <c r="S11" s="41">
        <f>J11</f>
        <v>0</v>
      </c>
      <c r="T11" s="41" t="str">
        <f>IF(D11&lt;&gt;"travail",IF(D11="férié travaillé",MOD(H11-F11,1)-G11,"00:00"),"00:00")</f>
        <v>00:00</v>
      </c>
      <c r="U11" s="42">
        <f>IF(SUM(IF(N11&gt;('bases de donnée'!E$9*1),N11-('bases de donnée'!E$9*1),0)-U10)&lt;0,0,SUM(IF(N11&gt;('bases de donnée'!E$9*1),N11-('bases de donnée'!E$9*1),0)-U5-U6-U7-U8-U9-U10))</f>
        <v>0</v>
      </c>
      <c r="V11" s="30"/>
      <c r="W11" s="31">
        <f t="shared" si="1"/>
        <v>0</v>
      </c>
      <c r="X11" s="31">
        <f>IF(SUM(S11-R11)&lt;0,0,SUM(S11-R11))</f>
        <v>0</v>
      </c>
      <c r="Y11" s="34">
        <f>IF(SUM(T11-S11-R11)&lt;0,0,SUM(T11-S11-R11))</f>
        <v>0</v>
      </c>
      <c r="Z11" s="31">
        <f>IF(SUM(U11-R11-S11-T11)&lt;0,0,SUM(U11-R11-S11-T11))</f>
        <v>0</v>
      </c>
      <c r="AA11" s="30"/>
    </row>
    <row r="12" spans="2:30" x14ac:dyDescent="0.25">
      <c r="B12"/>
      <c r="C12" s="47"/>
      <c r="D12" s="47"/>
      <c r="E12" s="16"/>
      <c r="F12" s="30"/>
      <c r="G12" s="48"/>
      <c r="H12" s="30"/>
      <c r="I12" s="30"/>
      <c r="J12" s="30"/>
      <c r="K12" s="49"/>
      <c r="L12" s="48"/>
      <c r="M12" s="48"/>
      <c r="N12" s="50"/>
      <c r="O12" s="30"/>
      <c r="R12" s="30"/>
      <c r="S12" s="30"/>
      <c r="T12" s="30"/>
      <c r="U12" s="50"/>
      <c r="V12" s="30"/>
      <c r="W12" s="30"/>
      <c r="X12" s="30"/>
      <c r="Y12" s="30"/>
      <c r="Z12" s="30"/>
      <c r="AA12" s="30"/>
      <c r="AB12" s="30"/>
      <c r="AC12" s="30"/>
      <c r="AD12" s="30"/>
    </row>
    <row r="13" spans="2:30" x14ac:dyDescent="0.25">
      <c r="G13" s="141"/>
      <c r="I13" s="1" t="s">
        <v>3</v>
      </c>
      <c r="J13" s="17">
        <f>MIN(E18:E24)-MAX(I5:I11)</f>
        <v>-42374.708333333336</v>
      </c>
      <c r="AA13" s="30"/>
    </row>
    <row r="14" spans="2:30" x14ac:dyDescent="0.25">
      <c r="G14" s="141"/>
      <c r="I14" s="135" t="s">
        <v>96</v>
      </c>
      <c r="AA14" s="30"/>
    </row>
    <row r="15" spans="2:30" x14ac:dyDescent="0.25">
      <c r="G15" s="141"/>
      <c r="U15" s="2"/>
    </row>
    <row r="16" spans="2:30" x14ac:dyDescent="0.25">
      <c r="G16" s="141"/>
      <c r="U16" s="2"/>
    </row>
    <row r="17" spans="2:26" x14ac:dyDescent="0.25">
      <c r="B17" s="132" t="s">
        <v>1</v>
      </c>
      <c r="C17" s="12" t="s">
        <v>1</v>
      </c>
      <c r="D17" s="13"/>
      <c r="E17" s="12"/>
      <c r="F17" s="10" t="s">
        <v>18</v>
      </c>
      <c r="G17" s="10" t="s">
        <v>0</v>
      </c>
      <c r="H17" s="11" t="s">
        <v>17</v>
      </c>
      <c r="I17" s="11"/>
      <c r="J17" s="11" t="s">
        <v>34</v>
      </c>
      <c r="K17" s="87" t="s">
        <v>38</v>
      </c>
      <c r="L17" s="11" t="s">
        <v>35</v>
      </c>
      <c r="M17" s="86" t="s">
        <v>38</v>
      </c>
      <c r="N17" s="13" t="s">
        <v>57</v>
      </c>
      <c r="O17" s="10"/>
      <c r="P17" s="10" t="s">
        <v>62</v>
      </c>
      <c r="R17" s="56" t="s">
        <v>31</v>
      </c>
      <c r="S17" s="13" t="s">
        <v>30</v>
      </c>
      <c r="T17" s="12" t="s">
        <v>36</v>
      </c>
      <c r="U17" s="12" t="s">
        <v>56</v>
      </c>
      <c r="V17" s="16"/>
      <c r="W17" s="12" t="s">
        <v>31</v>
      </c>
      <c r="X17" s="12" t="s">
        <v>32</v>
      </c>
      <c r="Y17" s="13" t="s">
        <v>36</v>
      </c>
      <c r="Z17" s="12" t="s">
        <v>33</v>
      </c>
    </row>
    <row r="18" spans="2:26" x14ac:dyDescent="0.25">
      <c r="B18" s="129" t="s">
        <v>1</v>
      </c>
      <c r="C18" s="136">
        <f>DATE('bases de donnée'!E$2,B21,B19)</f>
        <v>42376</v>
      </c>
      <c r="D18" s="118" t="s">
        <v>21</v>
      </c>
      <c r="E18" s="145" t="str">
        <f>IF(AND(H18="",F18=""),"",C18+F18)</f>
        <v/>
      </c>
      <c r="F18" s="134"/>
      <c r="G18" s="140"/>
      <c r="H18" s="134"/>
      <c r="I18" s="133" t="str">
        <f>IF(AND(F18="",H18=""),"",C18+H18)</f>
        <v/>
      </c>
      <c r="J18" s="137">
        <f>IF(OR(D18="férié travaillé",D18="travail"),(H18+(F18&gt;H18)-F18-G18),INDEX('bases de donnée'!$E$20:$E$32,MATCH(D18,gerald2,0)))</f>
        <v>0</v>
      </c>
      <c r="K18" s="138">
        <f>IF((J18-'bases de donnée'!E$7)&lt;0,0,(J18-'bases de donnée'!E$7))</f>
        <v>0</v>
      </c>
      <c r="L18" s="137">
        <f>IF(OR(D18="férié travaillé",D18="travail"),(H18+(F18&gt;H18)-F18),INDEX('bases de donnée'!$E$20:$E$32,MATCH(D18,gerald2,0)))</f>
        <v>0</v>
      </c>
      <c r="M18" s="139">
        <f>IF((L18-'bases de donnée'!E$4)&lt;0,0,(L18-'bases de donnée'!E$4))</f>
        <v>0</v>
      </c>
      <c r="N18" s="52">
        <f>J18</f>
        <v>0</v>
      </c>
      <c r="O18" s="54">
        <f>SUM(P18:P24)</f>
        <v>0</v>
      </c>
      <c r="P18" s="53">
        <f>IF(AND(F18&lt;&gt;"",H18&lt;&gt;""),1,0+OR(N(F16)&lt;N(H16),D18="récupération",D18="congé 1 jour",D18="congé 1/2 jour ",D18="congé 5h24",D18="arrêt maladie",D18="arrêt travail",D18="férié ",D18="congé parentale",D18="congé de naissance"))</f>
        <v>0</v>
      </c>
      <c r="Q18" s="20"/>
      <c r="R18" s="41">
        <f>IF(SUM(MOD(H18-F18,1)-IF(H18&gt;F18,MAX(0,MIN(H18,'bases de donnée'!E$16/24)-MAX('planning '!F18,7/24)),MAX(0,'bases de donnée'!E$16/24-MAX('planning '!F18,7/24))+MAX(0,MIN('planning '!H18,'bases de donnée'!E$16/24)-7/24)))&lt;0,0,SUM(MOD('planning '!H18-'planning '!F18,1)-IF('planning '!H18&gt;'planning '!F18,MAX(0,MIN('planning '!H18,'bases de donnée'!E$16/24)-MAX('planning '!F18,7/24)),MAX(0,'bases de donnée'!E$16/24-MAX('planning '!F18,7/24))+MAX(0,MIN('planning '!H18,'bases de donnée'!E$16/24)-7/24))))</f>
        <v>0</v>
      </c>
      <c r="S18" s="43"/>
      <c r="T18" s="41" t="str">
        <f>IF(D18&lt;&gt;"travail",IF(D18="férié travaillé",MOD(H18-F18,1)-G18,"00:00"),"00:00")</f>
        <v>00:00</v>
      </c>
      <c r="U18" s="42"/>
      <c r="V18" s="30"/>
      <c r="W18" s="31">
        <f t="shared" ref="W18:W24" si="6">R18</f>
        <v>0</v>
      </c>
      <c r="X18" s="21"/>
      <c r="Y18" s="32">
        <f t="shared" ref="Y18:Y23" si="7">IF(SUM(T18-W18)&lt;0,0,SUM(T18-W18))</f>
        <v>0</v>
      </c>
      <c r="Z18" s="31">
        <f t="shared" ref="Z18:Z23" si="8">IF(SUM(U18-W18-Y18)&lt;0,0,SUM(U18-W18-Y18))</f>
        <v>0</v>
      </c>
    </row>
    <row r="19" spans="2:26" x14ac:dyDescent="0.25">
      <c r="B19" s="130">
        <v>8</v>
      </c>
      <c r="C19" s="136">
        <f>C18+1</f>
        <v>42377</v>
      </c>
      <c r="D19" s="118" t="s">
        <v>21</v>
      </c>
      <c r="E19" s="145" t="str">
        <f t="shared" ref="E19:E24" si="9">IF(AND(H19="",F19=""),"",C19+F19)</f>
        <v/>
      </c>
      <c r="F19" s="134"/>
      <c r="G19" s="134"/>
      <c r="H19" s="134"/>
      <c r="I19" s="133" t="str">
        <f>IF(AND(F19="",H19=""),"",C19+H19)</f>
        <v/>
      </c>
      <c r="J19" s="137">
        <f>IF(OR(D19="férié travaillé",D19="travail"),(H19+(F19&gt;H19)-F19-G19),INDEX('bases de donnée'!$E$20:$E$32,MATCH(D19,gerald2,0)))</f>
        <v>0</v>
      </c>
      <c r="K19" s="138">
        <f>IF((J19-'bases de donnée'!E$7)&lt;0,0,(J19-'bases de donnée'!E$7))</f>
        <v>0</v>
      </c>
      <c r="L19" s="137">
        <f>IF(OR(D19="férié travaillé",D19="travail"),(H19+(F19&gt;H19)-F19),INDEX('bases de donnée'!$E$20:$E$32,MATCH(D19,gerald2,0)))</f>
        <v>0</v>
      </c>
      <c r="M19" s="139">
        <f>IF((L19-'bases de donnée'!E$4)&lt;0,0,(L19-'bases de donnée'!E$4))</f>
        <v>0</v>
      </c>
      <c r="N19" s="46">
        <f>N18+J19</f>
        <v>0</v>
      </c>
      <c r="O19" s="142">
        <f>IF((O18-'bases de donnée'!E$6)&lt;0,0,(O18-'bases de donnée'!E$6))</f>
        <v>0</v>
      </c>
      <c r="P19" s="53">
        <f t="shared" ref="P19:P24" si="10">IF(AND(F19&lt;&gt;"",H19&lt;&gt;""),1,0+OR(N(H18)&lt;N(F18),D19="récupération",D19="congé 1 jour",D19="congé 1/2 jour ",D19="congé 5h24",D19="arrêt maladie",D19="arrêt travail",D19="férié ",D19="congé parentale",D19="congé de naissance"))</f>
        <v>0</v>
      </c>
      <c r="Q19" s="20"/>
      <c r="R19" s="41">
        <f>IF(SUM(MOD(H19-F19,1)-IF(H19&gt;F19,MAX(0,MIN(H19,'bases de donnée'!E$16/24)-MAX('planning '!F19,7/24)),MAX(0,'bases de donnée'!E$16/24-MAX('planning '!F19,7/24))+MAX(0,MIN('planning '!H19,'bases de donnée'!E$16/24)-7/24)))&lt;0,0,SUM(MOD('planning '!H19-'planning '!F19,1)-IF('planning '!H19&gt;'planning '!F19,MAX(0,MIN('planning '!H19,'bases de donnée'!E$16/24)-MAX('planning '!F19,7/24)),MAX(0,'bases de donnée'!E$16/24-MAX('planning '!F19,7/24))+MAX(0,MIN('planning '!H19,'bases de donnée'!E$16/24)-7/24))))</f>
        <v>0</v>
      </c>
      <c r="S19" s="44"/>
      <c r="T19" s="41" t="str">
        <f>IF(D19&lt;&gt;"travail",IF(D19="férié travaillé",MOD(H19-F19,1)-G19,"00:00"),"00:00")</f>
        <v>00:00</v>
      </c>
      <c r="U19" s="42">
        <f>IF(SUM(IF(N19&gt;('bases de donnée'!E$9*1),N19-('bases de donnée'!E$9*1),0)-U18)&lt;0,0,SUM(IF(N19&gt;('bases de donnée'!E$9*1),N19-('bases de donnée'!E$9*1),0)-U18))</f>
        <v>0</v>
      </c>
      <c r="V19" s="30"/>
      <c r="W19" s="31">
        <f t="shared" si="6"/>
        <v>0</v>
      </c>
      <c r="X19" s="29"/>
      <c r="Y19" s="32">
        <f t="shared" si="7"/>
        <v>0</v>
      </c>
      <c r="Z19" s="31">
        <f t="shared" si="8"/>
        <v>0</v>
      </c>
    </row>
    <row r="20" spans="2:26" x14ac:dyDescent="0.25">
      <c r="B20" s="129" t="s">
        <v>95</v>
      </c>
      <c r="C20" s="136">
        <f t="shared" ref="C20:C24" si="11">C19+1</f>
        <v>42378</v>
      </c>
      <c r="D20" s="118" t="s">
        <v>21</v>
      </c>
      <c r="E20" s="145" t="str">
        <f t="shared" si="9"/>
        <v/>
      </c>
      <c r="F20" s="134"/>
      <c r="G20" s="134"/>
      <c r="H20" s="134"/>
      <c r="I20" s="133" t="str">
        <f t="shared" ref="I20:I24" si="12">IF(AND(F20="",H20=""),"",C20+H20)</f>
        <v/>
      </c>
      <c r="J20" s="137">
        <f>IF(OR(D20="férié travaillé",D20="travail"),(H20+(F20&gt;H20)-F20-G20),INDEX('bases de donnée'!$E$20:$E$32,MATCH(D20,gerald2,0)))</f>
        <v>0</v>
      </c>
      <c r="K20" s="138">
        <f>IF((J20-'bases de donnée'!E$7)&lt;0,0,(J20-'bases de donnée'!E$7))</f>
        <v>0</v>
      </c>
      <c r="L20" s="137">
        <f>IF(OR(D20="férié travaillé",D20="travail"),(H20+(F20&gt;H20)-F20),INDEX('bases de donnée'!$E$20:$E$32,MATCH(D20,gerald2,0)))</f>
        <v>0</v>
      </c>
      <c r="M20" s="139">
        <f>IF((L20-'bases de donnée'!E$4)&lt;0,0,(L20-'bases de donnée'!E$4))</f>
        <v>0</v>
      </c>
      <c r="N20" s="39">
        <f>N19+J20</f>
        <v>0</v>
      </c>
      <c r="O20" s="55" t="s">
        <v>37</v>
      </c>
      <c r="P20" s="53">
        <f t="shared" si="10"/>
        <v>0</v>
      </c>
      <c r="Q20" s="20"/>
      <c r="R20" s="41">
        <f>IF(SUM(MOD(H20-F20,1)-IF(H20&gt;F20,MAX(0,MIN(H20,'bases de donnée'!E$16/24)-MAX('planning '!F20,7/24)),MAX(0,'bases de donnée'!E$16/24-MAX('planning '!F20,7/24))+MAX(0,MIN('planning '!H20,'bases de donnée'!E$16/24)-7/24)))&lt;0,0,SUM(MOD('planning '!H20-'planning '!F20,1)-IF('planning '!H20&gt;'planning '!F20,MAX(0,MIN('planning '!H20,'bases de donnée'!E$16/24)-MAX('planning '!F20,7/24)),MAX(0,'bases de donnée'!E$16/24-MAX('planning '!F20,7/24))+MAX(0,MIN('planning '!H20,'bases de donnée'!E$16/24)-7/24))))</f>
        <v>0</v>
      </c>
      <c r="S20" s="44"/>
      <c r="T20" s="41" t="str">
        <f>IF(D20&lt;&gt;"travail",IF(D20="férié travaillé",MOD(H20-F20,1)-G20,"00:00"),"00:00")</f>
        <v>00:00</v>
      </c>
      <c r="U20" s="42">
        <f>IF(SUM(IF(N20&gt;('bases de donnée'!E$9*1),N20-('bases de donnée'!E$9*1),0)-U19)&lt;0,0,SUM(IF(N20&gt;('bases de donnée'!E$9*1),N20-('bases de donnée'!E$9*1),0)-U18-U19))</f>
        <v>0</v>
      </c>
      <c r="V20" s="30"/>
      <c r="W20" s="31">
        <f t="shared" si="6"/>
        <v>0</v>
      </c>
      <c r="X20" s="29"/>
      <c r="Y20" s="32">
        <f t="shared" si="7"/>
        <v>0</v>
      </c>
      <c r="Z20" s="31">
        <f t="shared" si="8"/>
        <v>0</v>
      </c>
    </row>
    <row r="21" spans="2:26" x14ac:dyDescent="0.25">
      <c r="B21" s="131">
        <v>1</v>
      </c>
      <c r="C21" s="136">
        <f>C20+1</f>
        <v>42379</v>
      </c>
      <c r="D21" s="118" t="s">
        <v>21</v>
      </c>
      <c r="E21" s="145" t="str">
        <f t="shared" si="9"/>
        <v/>
      </c>
      <c r="F21" s="134"/>
      <c r="G21" s="134"/>
      <c r="H21" s="134"/>
      <c r="I21" s="133" t="str">
        <f t="shared" si="12"/>
        <v/>
      </c>
      <c r="J21" s="137">
        <f>IF(OR(D21="férié travaillé",D21="travail"),(H21+(F21&gt;H21)-F21-G21),INDEX('bases de donnée'!$E$20:$E$32,MATCH(D21,gerald2,0)))</f>
        <v>0</v>
      </c>
      <c r="K21" s="138">
        <f>IF((J21-'bases de donnée'!E$7)&lt;0,0,(J21-'bases de donnée'!E$7))</f>
        <v>0</v>
      </c>
      <c r="L21" s="137">
        <f>IF(OR(D21="férié travaillé",D21="travail"),(H21+(F21&gt;H21)-F21),INDEX('bases de donnée'!$E$20:$E$32,MATCH(D21,gerald2,0)))</f>
        <v>0</v>
      </c>
      <c r="M21" s="139">
        <f>IF((L21-'bases de donnée'!E$4)&lt;0,0,(L21-'bases de donnée'!E$4))</f>
        <v>0</v>
      </c>
      <c r="N21" s="39">
        <f>N20+J21</f>
        <v>0</v>
      </c>
      <c r="O21" s="45">
        <f>N24</f>
        <v>0</v>
      </c>
      <c r="P21" s="53">
        <f t="shared" si="10"/>
        <v>0</v>
      </c>
      <c r="Q21" s="20"/>
      <c r="R21" s="41">
        <f>IF(SUM(MOD(H21-F21,1)-IF(H21&gt;F21,MAX(0,MIN(H21,'bases de donnée'!E$16/24)-MAX('planning '!F21,7/24)),MAX(0,'bases de donnée'!E$16/24-MAX('planning '!F21,7/24))+MAX(0,MIN('planning '!H21,'bases de donnée'!E$16/24)-7/24)))&lt;0,0,SUM(MOD('planning '!H21-'planning '!F21,1)-IF('planning '!H21&gt;'planning '!F21,MAX(0,MIN('planning '!H21,'bases de donnée'!E$16/24)-MAX('planning '!F21,7/24)),MAX(0,'bases de donnée'!E$16/24-MAX('planning '!F21,7/24))+MAX(0,MIN('planning '!H21,'bases de donnée'!E$16/24)-7/24))))</f>
        <v>0</v>
      </c>
      <c r="S21" s="44"/>
      <c r="T21" s="41" t="str">
        <f>IF(D21&lt;&gt;"travail",IF(D21="férié travaillé",MOD(H21-F21,1)-G21,"00:00"),"00:00")</f>
        <v>00:00</v>
      </c>
      <c r="U21" s="42">
        <f>IF(SUM(IF(N21&gt;('bases de donnée'!E$9*1),N21-('bases de donnée'!E$9*1),0)-U20)&lt;0,0,SUM(IF(N21&gt;('bases de donnée'!E$9*1),N21-('bases de donnée'!E$9*1),0)-U18-U19-U20))</f>
        <v>0</v>
      </c>
      <c r="V21" s="30"/>
      <c r="W21" s="31">
        <f t="shared" si="6"/>
        <v>0</v>
      </c>
      <c r="X21" s="29"/>
      <c r="Y21" s="32">
        <f t="shared" si="7"/>
        <v>0</v>
      </c>
      <c r="Z21" s="31">
        <f t="shared" si="8"/>
        <v>0</v>
      </c>
    </row>
    <row r="22" spans="2:26" x14ac:dyDescent="0.25">
      <c r="B22"/>
      <c r="C22" s="136">
        <f t="shared" si="11"/>
        <v>42380</v>
      </c>
      <c r="D22" s="118" t="s">
        <v>21</v>
      </c>
      <c r="E22" s="145" t="str">
        <f t="shared" si="9"/>
        <v/>
      </c>
      <c r="F22" s="134"/>
      <c r="G22" s="134"/>
      <c r="H22" s="134"/>
      <c r="I22" s="133" t="str">
        <f t="shared" si="12"/>
        <v/>
      </c>
      <c r="J22" s="137">
        <f>IF(OR(D22="férié travaillé",D22="travail"),(H22+(F22&gt;H22)-F22-G22),INDEX('bases de donnée'!$E$20:$E$32,MATCH(D22,gerald2,0)))</f>
        <v>0</v>
      </c>
      <c r="K22" s="138">
        <f>IF((J22-'bases de donnée'!E$7)&lt;0,0,(J22-'bases de donnée'!E$7))</f>
        <v>0</v>
      </c>
      <c r="L22" s="137">
        <f>IF(OR(D22="férié travaillé",D22="travail"),(H22+(F22&gt;H22)-F22),INDEX('bases de donnée'!$E$20:$E$32,MATCH(D22,gerald2,0)))</f>
        <v>0</v>
      </c>
      <c r="M22" s="139">
        <f>IF((L22-'bases de donnée'!E$4)&lt;0,0,(L22-'bases de donnée'!E$4))</f>
        <v>0</v>
      </c>
      <c r="N22" s="39">
        <f>N21+J22</f>
        <v>0</v>
      </c>
      <c r="O22" s="9" t="s">
        <v>64</v>
      </c>
      <c r="P22" s="53">
        <f t="shared" si="10"/>
        <v>0</v>
      </c>
      <c r="Q22" s="20"/>
      <c r="R22" s="41">
        <f>IF(SUM(MOD(H22-F22,1)-IF(H22&gt;F22,MAX(0,MIN(H22,'bases de donnée'!E$16/24)-MAX('planning '!F22,7/24)),MAX(0,'bases de donnée'!E$16/24-MAX('planning '!F22,7/24))+MAX(0,MIN('planning '!H22,'bases de donnée'!E$16/24)-7/24)))&lt;0,0,SUM(MOD('planning '!H22-'planning '!F22,1)-IF('planning '!H22&gt;'planning '!F22,MAX(0,MIN('planning '!H22,'bases de donnée'!E$16/24)-MAX('planning '!F22,7/24)),MAX(0,'bases de donnée'!E$16/24-MAX('planning '!F22,7/24))+MAX(0,MIN('planning '!H22,'bases de donnée'!E$16/24)-7/24))))</f>
        <v>0</v>
      </c>
      <c r="S22" s="44"/>
      <c r="T22" s="41" t="str">
        <f>IF(D22&lt;&gt;"travail",IF(D22="férié travaillé",MOD(H22-F22,1)-G22,"00:00"),"00:00")</f>
        <v>00:00</v>
      </c>
      <c r="U22" s="42">
        <f>IF(SUM(IF(N22&gt;('bases de donnée'!E$9*1),N22-('bases de donnée'!E$9*1),0)-U21)&lt;0,0,SUM(IF(N22&gt;('bases de donnée'!E$9*1),N22-('bases de donnée'!E$9*1),0)-U18-U19-U20-U21))</f>
        <v>0</v>
      </c>
      <c r="V22" s="30"/>
      <c r="W22" s="31">
        <f t="shared" si="6"/>
        <v>0</v>
      </c>
      <c r="X22" s="29"/>
      <c r="Y22" s="32">
        <f t="shared" si="7"/>
        <v>0</v>
      </c>
      <c r="Z22" s="31">
        <f t="shared" si="8"/>
        <v>0</v>
      </c>
    </row>
    <row r="23" spans="2:26" x14ac:dyDescent="0.25">
      <c r="B23"/>
      <c r="C23" s="136">
        <f t="shared" si="11"/>
        <v>42381</v>
      </c>
      <c r="D23" s="118" t="s">
        <v>21</v>
      </c>
      <c r="E23" s="145" t="str">
        <f t="shared" si="9"/>
        <v/>
      </c>
      <c r="F23" s="134"/>
      <c r="G23" s="134"/>
      <c r="H23" s="134"/>
      <c r="I23" s="133" t="str">
        <f t="shared" si="12"/>
        <v/>
      </c>
      <c r="J23" s="137">
        <f>IF(OR(D23="férié travaillé",D23="travail"),(H23+(F23&gt;H23)-F23-G23),INDEX('bases de donnée'!$E$20:$E$32,MATCH(D23,gerald2,0)))</f>
        <v>0</v>
      </c>
      <c r="K23" s="138">
        <f>IF((J23-'bases de donnée'!E$7)&lt;0,0,(J23-'bases de donnée'!E$7))</f>
        <v>0</v>
      </c>
      <c r="L23" s="137">
        <f>IF(OR(D23="férié travaillé",D23="travail"),(H23+(F23&gt;H23)-F23),INDEX('bases de donnée'!$E$20:$E$32,MATCH(D23,gerald2,0)))</f>
        <v>0</v>
      </c>
      <c r="M23" s="139">
        <f>IF((L23-'bases de donnée'!E$4)&lt;0,0,(L23-'bases de donnée'!E$4))</f>
        <v>0</v>
      </c>
      <c r="N23" s="39">
        <f>N22+J23</f>
        <v>0</v>
      </c>
      <c r="O23" s="33">
        <f>'bases de donnée'!E$10</f>
        <v>2</v>
      </c>
      <c r="P23" s="53">
        <f t="shared" si="10"/>
        <v>0</v>
      </c>
      <c r="Q23" s="20"/>
      <c r="R23" s="41">
        <f>IF(SUM(MOD(H23-F23,1)-IF(H23&gt;F23,MAX(0,MIN(H23,'bases de donnée'!E$16/24)-MAX('planning '!F23,7/24)),MAX(0,'bases de donnée'!E$16/24-MAX('planning '!F23,7/24))+MAX(0,MIN('planning '!H23,'bases de donnée'!E$16/24)-7/24)))&lt;0,0,SUM(MOD('planning '!H23-'planning '!F23,1)-IF('planning '!H23&gt;'planning '!F23,MAX(0,MIN('planning '!H23,'bases de donnée'!E$16/24)-MAX('planning '!F23,7/24)),MAX(0,'bases de donnée'!E$16/24-MAX('planning '!F23,7/24))+MAX(0,MIN('planning '!H23,'bases de donnée'!E$16/24)-7/24))))</f>
        <v>0</v>
      </c>
      <c r="S23" s="44"/>
      <c r="T23" s="41" t="str">
        <f>IF(D23&lt;&gt;"travail",IF(D23="férié travaillé",MOD(H23-F23,1)-G23,"00:00"),"00:00")</f>
        <v>00:00</v>
      </c>
      <c r="U23" s="42">
        <f>IF(SUM(IF(N23&gt;('bases de donnée'!E$9*1),N23-('bases de donnée'!E$9*1),0)-U22)&lt;0,0,SUM(IF(N23&gt;('bases de donnée'!E$9*1),N23-('bases de donnée'!E$9*1),0)-U18-U19-U20-U21-U22))</f>
        <v>0</v>
      </c>
      <c r="V23" s="30"/>
      <c r="W23" s="31">
        <f t="shared" si="6"/>
        <v>0</v>
      </c>
      <c r="X23" s="22"/>
      <c r="Y23" s="32">
        <f t="shared" si="7"/>
        <v>0</v>
      </c>
      <c r="Z23" s="31">
        <f t="shared" si="8"/>
        <v>0</v>
      </c>
    </row>
    <row r="24" spans="2:26" x14ac:dyDescent="0.25">
      <c r="B24"/>
      <c r="C24" s="136">
        <f t="shared" si="11"/>
        <v>42382</v>
      </c>
      <c r="D24" s="118" t="s">
        <v>21</v>
      </c>
      <c r="E24" s="145" t="str">
        <f t="shared" si="9"/>
        <v/>
      </c>
      <c r="F24" s="134"/>
      <c r="G24" s="134"/>
      <c r="H24" s="134"/>
      <c r="I24" s="133" t="str">
        <f t="shared" si="12"/>
        <v/>
      </c>
      <c r="J24" s="137">
        <f>IF(OR(D24="férié travaillé",D24="travail"),(H24+(F24&gt;H24)-F24-G24),INDEX('bases de donnée'!$E$20:$E$32,MATCH(D24,gerald2,0)))</f>
        <v>0</v>
      </c>
      <c r="K24" s="138">
        <f>IF((J24-'bases de donnée'!E$7)&lt;0,0,(J24-'bases de donnée'!E$7))</f>
        <v>0</v>
      </c>
      <c r="L24" s="137">
        <f>IF(OR(D24="férié travaillé",D24="travail"),(H24+(F24&gt;H24)-F24),INDEX('bases de donnée'!$E$20:$E$32,MATCH(D24,gerald2,0)))</f>
        <v>0</v>
      </c>
      <c r="M24" s="139">
        <f>IF((L24-'bases de donnée'!E$4)&lt;0,0,(L24-'bases de donnée'!E$4))</f>
        <v>0</v>
      </c>
      <c r="N24" s="39">
        <f>N23+J24</f>
        <v>0</v>
      </c>
      <c r="O24" s="143">
        <f>IF((N24-'bases de donnée'!E$10)&lt;0,0,(N24-'bases de donnée'!E$10))</f>
        <v>0</v>
      </c>
      <c r="P24" s="53">
        <f t="shared" si="10"/>
        <v>0</v>
      </c>
      <c r="Q24" s="20"/>
      <c r="R24" s="41">
        <f>IF(SUM(MOD(H24-F24,1)-IF(H24&gt;F24,MAX(0,MIN(H24,'bases de donnée'!E$16/24)-MAX('planning '!F24,7/24)),MAX(0,'bases de donnée'!E$16/24-MAX('planning '!F24,7/24))+MAX(0,MIN('planning '!H24,'bases de donnée'!E$16/24)-7/24)))&lt;0,0,SUM(MOD('planning '!H24-'planning '!F24,1)-IF('planning '!H24&gt;'planning '!F24,MAX(0,MIN('planning '!H24,'bases de donnée'!E$16/24)-MAX('planning '!F24,7/24)),MAX(0,'bases de donnée'!E$16/24-MAX('planning '!F24,7/24))+MAX(0,MIN('planning '!H24,'bases de donnée'!E$16/24)-7/24))))</f>
        <v>0</v>
      </c>
      <c r="S24" s="41">
        <f>J24</f>
        <v>0</v>
      </c>
      <c r="T24" s="41" t="str">
        <f>IF(D24&lt;&gt;"travail",IF(D24="férié travaillé",MOD(H24-F24,1)-G24,"00:00"),"00:00")</f>
        <v>00:00</v>
      </c>
      <c r="U24" s="42">
        <f>IF(SUM(IF(N24&gt;('bases de donnée'!E$9*1),N24-('bases de donnée'!E$9*1),0)-U23)&lt;0,0,SUM(IF(N24&gt;('bases de donnée'!E$9*1),N24-('bases de donnée'!E$9*1),0)-U18-U19-U20-U21-U22-U23))</f>
        <v>0</v>
      </c>
      <c r="V24" s="30"/>
      <c r="W24" s="31">
        <f t="shared" si="6"/>
        <v>0</v>
      </c>
      <c r="X24" s="31">
        <f>IF(SUM(S24-R24)&lt;0,0,SUM(S24-R24))</f>
        <v>0</v>
      </c>
      <c r="Y24" s="34">
        <f>IF(SUM(T24-S24-R24)&lt;0,0,SUM(T24-S24-R24))</f>
        <v>0</v>
      </c>
      <c r="Z24" s="31">
        <f>IF(SUM(U24-R24-S24-T24)&lt;0,0,SUM(U24-R24-S24-T24))</f>
        <v>0</v>
      </c>
    </row>
    <row r="25" spans="2:26" x14ac:dyDescent="0.25">
      <c r="B25"/>
      <c r="C25" s="47"/>
      <c r="D25" s="47"/>
      <c r="E25" s="16"/>
      <c r="F25" s="30"/>
      <c r="G25" s="30"/>
      <c r="H25" s="30"/>
      <c r="I25" s="30"/>
      <c r="J25" s="30"/>
      <c r="K25" s="49"/>
      <c r="L25" s="48"/>
      <c r="M25" s="48"/>
      <c r="N25" s="50"/>
      <c r="O25" s="30"/>
      <c r="R25" s="30"/>
      <c r="S25" s="30"/>
      <c r="T25" s="30"/>
      <c r="U25" s="50"/>
      <c r="V25" s="30"/>
      <c r="W25" s="30"/>
      <c r="X25" s="30"/>
      <c r="Y25" s="30"/>
      <c r="Z25" s="30"/>
    </row>
    <row r="26" spans="2:26" x14ac:dyDescent="0.25">
      <c r="I26" s="1"/>
      <c r="J26" s="17"/>
    </row>
    <row r="27" spans="2:26" x14ac:dyDescent="0.25">
      <c r="U27" s="2"/>
    </row>
    <row r="28" spans="2:26" x14ac:dyDescent="0.25">
      <c r="U28" s="2"/>
    </row>
    <row r="29" spans="2:26" x14ac:dyDescent="0.25">
      <c r="U29" s="2"/>
    </row>
    <row r="30" spans="2:26" x14ac:dyDescent="0.25">
      <c r="U30" s="2"/>
    </row>
    <row r="31" spans="2:26" x14ac:dyDescent="0.25">
      <c r="U31" s="2"/>
    </row>
    <row r="32" spans="2:26" x14ac:dyDescent="0.25">
      <c r="U32" s="2"/>
    </row>
    <row r="33" spans="21:21" x14ac:dyDescent="0.25">
      <c r="U33" s="2"/>
    </row>
    <row r="34" spans="21:21" x14ac:dyDescent="0.25">
      <c r="U34" s="2"/>
    </row>
    <row r="35" spans="21:21" x14ac:dyDescent="0.25">
      <c r="U35" s="2"/>
    </row>
    <row r="36" spans="21:21" x14ac:dyDescent="0.25">
      <c r="U36" s="2"/>
    </row>
    <row r="37" spans="21:21" x14ac:dyDescent="0.25">
      <c r="U37" s="2"/>
    </row>
    <row r="38" spans="21:21" x14ac:dyDescent="0.25">
      <c r="U38" s="2"/>
    </row>
    <row r="39" spans="21:21" x14ac:dyDescent="0.25">
      <c r="U39" s="2"/>
    </row>
    <row r="40" spans="21:21" x14ac:dyDescent="0.25">
      <c r="U40" s="2"/>
    </row>
    <row r="41" spans="21:21" x14ac:dyDescent="0.25">
      <c r="U41" s="2"/>
    </row>
    <row r="42" spans="21:21" x14ac:dyDescent="0.25">
      <c r="U42" s="2"/>
    </row>
    <row r="43" spans="21:21" x14ac:dyDescent="0.25">
      <c r="U43" s="2"/>
    </row>
    <row r="44" spans="21:21" x14ac:dyDescent="0.25">
      <c r="U44" s="2"/>
    </row>
    <row r="45" spans="21:21" x14ac:dyDescent="0.25">
      <c r="U45" s="2"/>
    </row>
    <row r="46" spans="21:21" x14ac:dyDescent="0.25">
      <c r="U46" s="2"/>
    </row>
    <row r="47" spans="21:21" x14ac:dyDescent="0.25">
      <c r="U47" s="2"/>
    </row>
    <row r="48" spans="21:21" x14ac:dyDescent="0.25">
      <c r="U48" s="2"/>
    </row>
    <row r="49" spans="21:21" x14ac:dyDescent="0.25">
      <c r="U49" s="2"/>
    </row>
    <row r="50" spans="21:21" x14ac:dyDescent="0.25">
      <c r="U50" s="2"/>
    </row>
    <row r="51" spans="21:21" x14ac:dyDescent="0.25">
      <c r="U51" s="2"/>
    </row>
    <row r="52" spans="21:21" x14ac:dyDescent="0.25">
      <c r="U52" s="2"/>
    </row>
    <row r="53" spans="21:21" x14ac:dyDescent="0.25">
      <c r="U53" s="2"/>
    </row>
    <row r="54" spans="21:21" x14ac:dyDescent="0.25">
      <c r="U54" s="2"/>
    </row>
    <row r="55" spans="21:21" x14ac:dyDescent="0.25">
      <c r="U55" s="2"/>
    </row>
    <row r="56" spans="21:21" x14ac:dyDescent="0.25">
      <c r="U56" s="2"/>
    </row>
    <row r="57" spans="21:21" x14ac:dyDescent="0.25">
      <c r="U57" s="2"/>
    </row>
    <row r="58" spans="21:21" x14ac:dyDescent="0.25">
      <c r="U58" s="2"/>
    </row>
    <row r="59" spans="21:21" x14ac:dyDescent="0.25">
      <c r="U59" s="2"/>
    </row>
    <row r="60" spans="21:21" x14ac:dyDescent="0.25">
      <c r="U60" s="2"/>
    </row>
    <row r="61" spans="21:21" x14ac:dyDescent="0.25">
      <c r="U61" s="2"/>
    </row>
    <row r="62" spans="21:21" x14ac:dyDescent="0.25">
      <c r="U62" s="2"/>
    </row>
    <row r="63" spans="21:21" x14ac:dyDescent="0.25">
      <c r="U63" s="2"/>
    </row>
    <row r="64" spans="21:21" x14ac:dyDescent="0.25">
      <c r="U64" s="2"/>
    </row>
    <row r="65" spans="21:21" x14ac:dyDescent="0.25">
      <c r="U65" s="2"/>
    </row>
    <row r="66" spans="21:21" x14ac:dyDescent="0.25">
      <c r="U66" s="2"/>
    </row>
    <row r="67" spans="21:21" x14ac:dyDescent="0.25">
      <c r="U67" s="2"/>
    </row>
    <row r="68" spans="21:21" x14ac:dyDescent="0.25">
      <c r="U68" s="2"/>
    </row>
    <row r="69" spans="21:21" x14ac:dyDescent="0.25">
      <c r="U69" s="2"/>
    </row>
    <row r="70" spans="21:21" x14ac:dyDescent="0.25">
      <c r="U70" s="2"/>
    </row>
    <row r="71" spans="21:21" x14ac:dyDescent="0.25">
      <c r="U71" s="2"/>
    </row>
    <row r="72" spans="21:21" x14ac:dyDescent="0.25">
      <c r="U72" s="2"/>
    </row>
    <row r="73" spans="21:21" x14ac:dyDescent="0.25">
      <c r="U73" s="2"/>
    </row>
    <row r="74" spans="21:21" x14ac:dyDescent="0.25">
      <c r="U74" s="2"/>
    </row>
    <row r="75" spans="21:21" x14ac:dyDescent="0.25">
      <c r="U75" s="2"/>
    </row>
    <row r="76" spans="21:21" x14ac:dyDescent="0.25">
      <c r="U76" s="2"/>
    </row>
    <row r="77" spans="21:21" x14ac:dyDescent="0.25">
      <c r="U77" s="2"/>
    </row>
    <row r="78" spans="21:21" x14ac:dyDescent="0.25">
      <c r="U78" s="2"/>
    </row>
    <row r="79" spans="21:21" x14ac:dyDescent="0.25">
      <c r="U79" s="2"/>
    </row>
    <row r="80" spans="21:21" x14ac:dyDescent="0.25">
      <c r="U80" s="2"/>
    </row>
    <row r="81" spans="21:21" x14ac:dyDescent="0.25">
      <c r="U81" s="2"/>
    </row>
    <row r="82" spans="21:21" x14ac:dyDescent="0.25">
      <c r="U82" s="2"/>
    </row>
    <row r="83" spans="21:21" x14ac:dyDescent="0.25">
      <c r="U83" s="2"/>
    </row>
    <row r="84" spans="21:21" x14ac:dyDescent="0.25">
      <c r="U84" s="2"/>
    </row>
    <row r="85" spans="21:21" x14ac:dyDescent="0.25">
      <c r="U85" s="2"/>
    </row>
    <row r="86" spans="21:21" x14ac:dyDescent="0.25">
      <c r="U86" s="2"/>
    </row>
    <row r="87" spans="21:21" x14ac:dyDescent="0.25">
      <c r="U87" s="2"/>
    </row>
    <row r="88" spans="21:21" x14ac:dyDescent="0.25">
      <c r="U88" s="2"/>
    </row>
    <row r="89" spans="21:21" x14ac:dyDescent="0.25">
      <c r="U89" s="2"/>
    </row>
    <row r="90" spans="21:21" x14ac:dyDescent="0.25">
      <c r="U90" s="2"/>
    </row>
    <row r="91" spans="21:21" x14ac:dyDescent="0.25">
      <c r="U91" s="2"/>
    </row>
    <row r="92" spans="21:21" x14ac:dyDescent="0.25">
      <c r="U92" s="2"/>
    </row>
    <row r="93" spans="21:21" x14ac:dyDescent="0.25">
      <c r="U93" s="2"/>
    </row>
    <row r="94" spans="21:21" x14ac:dyDescent="0.25">
      <c r="U94" s="2"/>
    </row>
    <row r="95" spans="21:21" x14ac:dyDescent="0.25">
      <c r="U95" s="2"/>
    </row>
    <row r="96" spans="21:21" x14ac:dyDescent="0.25">
      <c r="U96" s="2"/>
    </row>
    <row r="97" spans="21:21" x14ac:dyDescent="0.25">
      <c r="U97" s="2"/>
    </row>
    <row r="98" spans="21:21" x14ac:dyDescent="0.25">
      <c r="U98" s="2"/>
    </row>
    <row r="99" spans="21:21" x14ac:dyDescent="0.25">
      <c r="U99" s="2"/>
    </row>
    <row r="100" spans="21:21" x14ac:dyDescent="0.25">
      <c r="U100" s="2"/>
    </row>
    <row r="101" spans="21:21" x14ac:dyDescent="0.25">
      <c r="U101" s="2"/>
    </row>
    <row r="102" spans="21:21" x14ac:dyDescent="0.25">
      <c r="U102" s="2"/>
    </row>
    <row r="103" spans="21:21" x14ac:dyDescent="0.25">
      <c r="U103" s="2"/>
    </row>
    <row r="104" spans="21:21" x14ac:dyDescent="0.25">
      <c r="U104" s="2"/>
    </row>
    <row r="105" spans="21:21" x14ac:dyDescent="0.25">
      <c r="U105" s="2"/>
    </row>
    <row r="106" spans="21:21" x14ac:dyDescent="0.25">
      <c r="U106" s="2"/>
    </row>
    <row r="107" spans="21:21" x14ac:dyDescent="0.25">
      <c r="U107" s="2"/>
    </row>
    <row r="108" spans="21:21" x14ac:dyDescent="0.25">
      <c r="U108" s="2"/>
    </row>
    <row r="109" spans="21:21" x14ac:dyDescent="0.25">
      <c r="U109" s="2"/>
    </row>
    <row r="110" spans="21:21" x14ac:dyDescent="0.25">
      <c r="U110" s="2"/>
    </row>
    <row r="111" spans="21:21" x14ac:dyDescent="0.25">
      <c r="U111" s="2"/>
    </row>
    <row r="112" spans="21:21" x14ac:dyDescent="0.25">
      <c r="U112" s="2"/>
    </row>
    <row r="113" spans="21:21" x14ac:dyDescent="0.25">
      <c r="U113" s="2"/>
    </row>
    <row r="114" spans="21:21" x14ac:dyDescent="0.25">
      <c r="U114" s="2"/>
    </row>
    <row r="115" spans="21:21" x14ac:dyDescent="0.25">
      <c r="U115" s="2"/>
    </row>
    <row r="116" spans="21:21" x14ac:dyDescent="0.25">
      <c r="U116" s="2"/>
    </row>
    <row r="117" spans="21:21" x14ac:dyDescent="0.25">
      <c r="U117" s="2"/>
    </row>
    <row r="118" spans="21:21" x14ac:dyDescent="0.25">
      <c r="U118" s="2"/>
    </row>
    <row r="119" spans="21:21" x14ac:dyDescent="0.25">
      <c r="U119" s="2"/>
    </row>
    <row r="120" spans="21:21" x14ac:dyDescent="0.25">
      <c r="U120" s="2"/>
    </row>
    <row r="121" spans="21:21" x14ac:dyDescent="0.25">
      <c r="U121" s="2"/>
    </row>
    <row r="122" spans="21:21" x14ac:dyDescent="0.25">
      <c r="U122" s="2"/>
    </row>
    <row r="123" spans="21:21" x14ac:dyDescent="0.25">
      <c r="U123" s="2"/>
    </row>
    <row r="124" spans="21:21" x14ac:dyDescent="0.25">
      <c r="U124" s="2"/>
    </row>
    <row r="125" spans="21:21" x14ac:dyDescent="0.25">
      <c r="U125" s="2"/>
    </row>
    <row r="126" spans="21:21" x14ac:dyDescent="0.25">
      <c r="U126" s="2"/>
    </row>
    <row r="127" spans="21:21" x14ac:dyDescent="0.25">
      <c r="U127" s="2"/>
    </row>
    <row r="128" spans="21:21" x14ac:dyDescent="0.25">
      <c r="U128" s="2"/>
    </row>
    <row r="129" spans="21:21" x14ac:dyDescent="0.25">
      <c r="U129" s="2"/>
    </row>
    <row r="130" spans="21:21" x14ac:dyDescent="0.25">
      <c r="U130" s="2"/>
    </row>
    <row r="131" spans="21:21" x14ac:dyDescent="0.25">
      <c r="U131" s="2"/>
    </row>
    <row r="132" spans="21:21" x14ac:dyDescent="0.25">
      <c r="U132" s="2"/>
    </row>
    <row r="133" spans="21:21" x14ac:dyDescent="0.25">
      <c r="U133" s="2"/>
    </row>
    <row r="134" spans="21:21" x14ac:dyDescent="0.25">
      <c r="U134" s="2"/>
    </row>
    <row r="135" spans="21:21" x14ac:dyDescent="0.25">
      <c r="U135" s="2"/>
    </row>
    <row r="136" spans="21:21" x14ac:dyDescent="0.25">
      <c r="U136" s="2"/>
    </row>
    <row r="137" spans="21:21" x14ac:dyDescent="0.25">
      <c r="U137" s="2"/>
    </row>
    <row r="138" spans="21:21" x14ac:dyDescent="0.25">
      <c r="U138" s="2"/>
    </row>
    <row r="139" spans="21:21" x14ac:dyDescent="0.25">
      <c r="U139" s="2"/>
    </row>
    <row r="140" spans="21:21" x14ac:dyDescent="0.25">
      <c r="U140" s="2"/>
    </row>
    <row r="141" spans="21:21" x14ac:dyDescent="0.25">
      <c r="U141" s="2"/>
    </row>
    <row r="142" spans="21:21" x14ac:dyDescent="0.25">
      <c r="U142" s="2"/>
    </row>
    <row r="143" spans="21:21" x14ac:dyDescent="0.25">
      <c r="U143" s="2"/>
    </row>
    <row r="144" spans="21:21" x14ac:dyDescent="0.25">
      <c r="U144" s="2"/>
    </row>
    <row r="145" spans="21:21" x14ac:dyDescent="0.25">
      <c r="U145" s="2"/>
    </row>
    <row r="146" spans="21:21" x14ac:dyDescent="0.25">
      <c r="U146" s="2"/>
    </row>
    <row r="147" spans="21:21" x14ac:dyDescent="0.25">
      <c r="U147" s="2"/>
    </row>
    <row r="148" spans="21:21" x14ac:dyDescent="0.25">
      <c r="U148" s="2"/>
    </row>
    <row r="149" spans="21:21" x14ac:dyDescent="0.25">
      <c r="U149" s="2"/>
    </row>
    <row r="150" spans="21:21" x14ac:dyDescent="0.25">
      <c r="U150" s="2"/>
    </row>
    <row r="151" spans="21:21" x14ac:dyDescent="0.25">
      <c r="U151" s="2"/>
    </row>
    <row r="152" spans="21:21" x14ac:dyDescent="0.25">
      <c r="U152" s="2"/>
    </row>
    <row r="153" spans="21:21" x14ac:dyDescent="0.25">
      <c r="U153" s="2"/>
    </row>
    <row r="154" spans="21:21" x14ac:dyDescent="0.25">
      <c r="U154" s="2"/>
    </row>
    <row r="155" spans="21:21" x14ac:dyDescent="0.25">
      <c r="U155" s="2"/>
    </row>
    <row r="156" spans="21:21" x14ac:dyDescent="0.25">
      <c r="U156" s="2"/>
    </row>
    <row r="157" spans="21:21" x14ac:dyDescent="0.25">
      <c r="U157" s="2"/>
    </row>
    <row r="158" spans="21:21" x14ac:dyDescent="0.25">
      <c r="U158" s="2"/>
    </row>
    <row r="159" spans="21:21" x14ac:dyDescent="0.25">
      <c r="U159" s="2"/>
    </row>
    <row r="160" spans="21:21" x14ac:dyDescent="0.25">
      <c r="U160" s="2"/>
    </row>
    <row r="161" spans="21:21" x14ac:dyDescent="0.25">
      <c r="U161" s="2"/>
    </row>
    <row r="162" spans="21:21" x14ac:dyDescent="0.25">
      <c r="U162" s="2"/>
    </row>
    <row r="163" spans="21:21" x14ac:dyDescent="0.25">
      <c r="U163" s="2"/>
    </row>
    <row r="164" spans="21:21" x14ac:dyDescent="0.25">
      <c r="U164" s="2"/>
    </row>
    <row r="165" spans="21:21" x14ac:dyDescent="0.25">
      <c r="U165" s="2"/>
    </row>
    <row r="166" spans="21:21" x14ac:dyDescent="0.25">
      <c r="U166" s="2"/>
    </row>
    <row r="167" spans="21:21" x14ac:dyDescent="0.25">
      <c r="U167" s="2"/>
    </row>
    <row r="168" spans="21:21" x14ac:dyDescent="0.25">
      <c r="U168" s="2"/>
    </row>
    <row r="169" spans="21:21" x14ac:dyDescent="0.25">
      <c r="U169" s="2"/>
    </row>
    <row r="170" spans="21:21" x14ac:dyDescent="0.25">
      <c r="U170" s="2"/>
    </row>
    <row r="171" spans="21:21" x14ac:dyDescent="0.25">
      <c r="U171" s="2"/>
    </row>
    <row r="172" spans="21:21" x14ac:dyDescent="0.25">
      <c r="U172" s="2"/>
    </row>
    <row r="173" spans="21:21" x14ac:dyDescent="0.25">
      <c r="U173" s="2"/>
    </row>
    <row r="174" spans="21:21" x14ac:dyDescent="0.25">
      <c r="U174" s="2"/>
    </row>
    <row r="175" spans="21:21" x14ac:dyDescent="0.25">
      <c r="U175" s="2"/>
    </row>
    <row r="176" spans="21:21" x14ac:dyDescent="0.25">
      <c r="U176" s="2"/>
    </row>
    <row r="177" spans="21:21" x14ac:dyDescent="0.25">
      <c r="U177" s="2"/>
    </row>
    <row r="178" spans="21:21" x14ac:dyDescent="0.25">
      <c r="U178" s="2"/>
    </row>
    <row r="179" spans="21:21" x14ac:dyDescent="0.25">
      <c r="U179" s="2"/>
    </row>
    <row r="180" spans="21:21" x14ac:dyDescent="0.25">
      <c r="U180" s="2"/>
    </row>
    <row r="181" spans="21:21" x14ac:dyDescent="0.25">
      <c r="U181" s="2"/>
    </row>
    <row r="182" spans="21:21" x14ac:dyDescent="0.25">
      <c r="U182" s="2"/>
    </row>
    <row r="183" spans="21:21" x14ac:dyDescent="0.25">
      <c r="U183" s="2"/>
    </row>
    <row r="184" spans="21:21" x14ac:dyDescent="0.25">
      <c r="U184" s="2"/>
    </row>
    <row r="185" spans="21:21" x14ac:dyDescent="0.25">
      <c r="U185" s="2"/>
    </row>
    <row r="186" spans="21:21" x14ac:dyDescent="0.25">
      <c r="U186" s="2"/>
    </row>
    <row r="187" spans="21:21" x14ac:dyDescent="0.25">
      <c r="U187" s="2"/>
    </row>
    <row r="188" spans="21:21" x14ac:dyDescent="0.25">
      <c r="U188" s="2"/>
    </row>
    <row r="189" spans="21:21" x14ac:dyDescent="0.25">
      <c r="U189" s="2"/>
    </row>
    <row r="190" spans="21:21" x14ac:dyDescent="0.25">
      <c r="U190" s="2"/>
    </row>
    <row r="191" spans="21:21" x14ac:dyDescent="0.25">
      <c r="U191" s="2"/>
    </row>
    <row r="192" spans="21:21" x14ac:dyDescent="0.25">
      <c r="U192" s="2"/>
    </row>
    <row r="193" spans="21:21" x14ac:dyDescent="0.25">
      <c r="U193" s="2"/>
    </row>
    <row r="194" spans="21:21" x14ac:dyDescent="0.25">
      <c r="U194" s="2"/>
    </row>
    <row r="195" spans="21:21" x14ac:dyDescent="0.25">
      <c r="U195" s="2"/>
    </row>
    <row r="196" spans="21:21" x14ac:dyDescent="0.25">
      <c r="U196" s="2"/>
    </row>
    <row r="197" spans="21:21" x14ac:dyDescent="0.25">
      <c r="U197" s="2"/>
    </row>
    <row r="198" spans="21:21" x14ac:dyDescent="0.25">
      <c r="U198" s="2"/>
    </row>
    <row r="199" spans="21:21" x14ac:dyDescent="0.25">
      <c r="U199" s="2"/>
    </row>
    <row r="200" spans="21:21" x14ac:dyDescent="0.25">
      <c r="U200" s="2"/>
    </row>
    <row r="201" spans="21:21" x14ac:dyDescent="0.25">
      <c r="U201" s="2"/>
    </row>
    <row r="202" spans="21:21" x14ac:dyDescent="0.25">
      <c r="U202" s="2"/>
    </row>
    <row r="203" spans="21:21" x14ac:dyDescent="0.25">
      <c r="U203" s="2"/>
    </row>
    <row r="204" spans="21:21" x14ac:dyDescent="0.25">
      <c r="U204" s="2"/>
    </row>
    <row r="205" spans="21:21" x14ac:dyDescent="0.25">
      <c r="U205" s="2"/>
    </row>
    <row r="206" spans="21:21" x14ac:dyDescent="0.25">
      <c r="U206" s="2"/>
    </row>
    <row r="207" spans="21:21" x14ac:dyDescent="0.25">
      <c r="U207" s="2"/>
    </row>
    <row r="208" spans="21:21" x14ac:dyDescent="0.25">
      <c r="U208" s="2"/>
    </row>
    <row r="209" spans="21:21" x14ac:dyDescent="0.25">
      <c r="U209" s="2"/>
    </row>
    <row r="210" spans="21:21" x14ac:dyDescent="0.25">
      <c r="U210" s="2"/>
    </row>
    <row r="211" spans="21:21" x14ac:dyDescent="0.25">
      <c r="U211" s="2"/>
    </row>
    <row r="212" spans="21:21" x14ac:dyDescent="0.25">
      <c r="U212" s="2"/>
    </row>
    <row r="213" spans="21:21" x14ac:dyDescent="0.25">
      <c r="U213" s="2"/>
    </row>
    <row r="214" spans="21:21" x14ac:dyDescent="0.25">
      <c r="U214" s="2"/>
    </row>
    <row r="215" spans="21:21" x14ac:dyDescent="0.25">
      <c r="U215" s="2"/>
    </row>
    <row r="216" spans="21:21" x14ac:dyDescent="0.25">
      <c r="U216" s="2"/>
    </row>
    <row r="217" spans="21:21" x14ac:dyDescent="0.25">
      <c r="U217" s="2"/>
    </row>
    <row r="218" spans="21:21" x14ac:dyDescent="0.25">
      <c r="U218" s="2"/>
    </row>
    <row r="219" spans="21:21" x14ac:dyDescent="0.25">
      <c r="U219" s="2"/>
    </row>
    <row r="220" spans="21:21" x14ac:dyDescent="0.25">
      <c r="U220" s="2"/>
    </row>
    <row r="221" spans="21:21" x14ac:dyDescent="0.25">
      <c r="U221" s="2"/>
    </row>
    <row r="222" spans="21:21" x14ac:dyDescent="0.25">
      <c r="U222" s="2"/>
    </row>
    <row r="223" spans="21:21" x14ac:dyDescent="0.25">
      <c r="U223" s="2"/>
    </row>
    <row r="224" spans="21:21" x14ac:dyDescent="0.25">
      <c r="U224" s="2"/>
    </row>
    <row r="225" spans="21:21" x14ac:dyDescent="0.25">
      <c r="U225" s="2"/>
    </row>
    <row r="226" spans="21:21" x14ac:dyDescent="0.25">
      <c r="U226" s="2"/>
    </row>
    <row r="227" spans="21:21" x14ac:dyDescent="0.25">
      <c r="U227" s="2"/>
    </row>
    <row r="228" spans="21:21" x14ac:dyDescent="0.25">
      <c r="U228" s="2"/>
    </row>
    <row r="229" spans="21:21" x14ac:dyDescent="0.25">
      <c r="U229" s="2"/>
    </row>
    <row r="230" spans="21:21" x14ac:dyDescent="0.25">
      <c r="U230" s="2"/>
    </row>
    <row r="231" spans="21:21" x14ac:dyDescent="0.25">
      <c r="U231" s="2"/>
    </row>
    <row r="232" spans="21:21" x14ac:dyDescent="0.25">
      <c r="U232" s="2"/>
    </row>
    <row r="233" spans="21:21" x14ac:dyDescent="0.25">
      <c r="U233" s="2"/>
    </row>
    <row r="234" spans="21:21" x14ac:dyDescent="0.25">
      <c r="U234" s="2"/>
    </row>
    <row r="235" spans="21:21" x14ac:dyDescent="0.25">
      <c r="U235" s="2"/>
    </row>
    <row r="236" spans="21:21" x14ac:dyDescent="0.25">
      <c r="U236" s="2"/>
    </row>
    <row r="237" spans="21:21" x14ac:dyDescent="0.25">
      <c r="U237" s="2"/>
    </row>
    <row r="238" spans="21:21" x14ac:dyDescent="0.25">
      <c r="U238" s="2"/>
    </row>
    <row r="239" spans="21:21" x14ac:dyDescent="0.25">
      <c r="U239" s="2"/>
    </row>
    <row r="240" spans="21:21" x14ac:dyDescent="0.25">
      <c r="U240" s="2"/>
    </row>
    <row r="241" spans="21:21" x14ac:dyDescent="0.25">
      <c r="U241" s="2"/>
    </row>
    <row r="242" spans="21:21" x14ac:dyDescent="0.25">
      <c r="U242" s="2"/>
    </row>
    <row r="243" spans="21:21" x14ac:dyDescent="0.25">
      <c r="U243" s="2"/>
    </row>
    <row r="244" spans="21:21" x14ac:dyDescent="0.25">
      <c r="U244" s="2"/>
    </row>
    <row r="245" spans="21:21" x14ac:dyDescent="0.25">
      <c r="U245" s="2"/>
    </row>
    <row r="246" spans="21:21" x14ac:dyDescent="0.25">
      <c r="U246" s="2"/>
    </row>
    <row r="247" spans="21:21" x14ac:dyDescent="0.25">
      <c r="U247" s="2"/>
    </row>
    <row r="248" spans="21:21" x14ac:dyDescent="0.25">
      <c r="U248" s="2"/>
    </row>
    <row r="249" spans="21:21" x14ac:dyDescent="0.25">
      <c r="U249" s="2"/>
    </row>
    <row r="250" spans="21:21" x14ac:dyDescent="0.25">
      <c r="U250" s="2"/>
    </row>
    <row r="251" spans="21:21" x14ac:dyDescent="0.25">
      <c r="U251" s="2"/>
    </row>
    <row r="252" spans="21:21" x14ac:dyDescent="0.25">
      <c r="U252" s="2"/>
    </row>
    <row r="253" spans="21:21" x14ac:dyDescent="0.25">
      <c r="U253" s="2"/>
    </row>
    <row r="254" spans="21:21" x14ac:dyDescent="0.25">
      <c r="U254" s="2"/>
    </row>
    <row r="255" spans="21:21" x14ac:dyDescent="0.25">
      <c r="U255" s="2"/>
    </row>
    <row r="256" spans="21:21" x14ac:dyDescent="0.25">
      <c r="U256" s="2"/>
    </row>
    <row r="257" spans="21:21" x14ac:dyDescent="0.25">
      <c r="U257" s="2"/>
    </row>
    <row r="258" spans="21:21" x14ac:dyDescent="0.25">
      <c r="U258" s="2"/>
    </row>
    <row r="259" spans="21:21" x14ac:dyDescent="0.25">
      <c r="U259" s="2"/>
    </row>
    <row r="260" spans="21:21" x14ac:dyDescent="0.25">
      <c r="U260" s="2"/>
    </row>
    <row r="261" spans="21:21" x14ac:dyDescent="0.25">
      <c r="U261" s="2"/>
    </row>
    <row r="262" spans="21:21" x14ac:dyDescent="0.25">
      <c r="U262" s="2"/>
    </row>
    <row r="263" spans="21:21" x14ac:dyDescent="0.25">
      <c r="U263" s="2"/>
    </row>
    <row r="264" spans="21:21" x14ac:dyDescent="0.25">
      <c r="U264" s="2"/>
    </row>
    <row r="265" spans="21:21" x14ac:dyDescent="0.25">
      <c r="U265" s="2"/>
    </row>
    <row r="266" spans="21:21" x14ac:dyDescent="0.25">
      <c r="U266" s="2"/>
    </row>
    <row r="267" spans="21:21" x14ac:dyDescent="0.25">
      <c r="U267" s="2"/>
    </row>
    <row r="268" spans="21:21" x14ac:dyDescent="0.25">
      <c r="U268" s="2"/>
    </row>
    <row r="269" spans="21:21" x14ac:dyDescent="0.25">
      <c r="U269" s="2"/>
    </row>
    <row r="270" spans="21:21" x14ac:dyDescent="0.25">
      <c r="U270" s="2"/>
    </row>
    <row r="271" spans="21:21" x14ac:dyDescent="0.25">
      <c r="U271" s="2"/>
    </row>
    <row r="272" spans="21:21" x14ac:dyDescent="0.25">
      <c r="U272" s="2"/>
    </row>
    <row r="273" spans="21:21" x14ac:dyDescent="0.25">
      <c r="U273" s="2"/>
    </row>
    <row r="274" spans="21:21" x14ac:dyDescent="0.25">
      <c r="U274" s="2"/>
    </row>
    <row r="275" spans="21:21" x14ac:dyDescent="0.25">
      <c r="U275" s="2"/>
    </row>
    <row r="276" spans="21:21" x14ac:dyDescent="0.25">
      <c r="U276" s="2"/>
    </row>
    <row r="277" spans="21:21" x14ac:dyDescent="0.25">
      <c r="U277" s="2"/>
    </row>
    <row r="278" spans="21:21" x14ac:dyDescent="0.25">
      <c r="U278" s="2"/>
    </row>
    <row r="279" spans="21:21" x14ac:dyDescent="0.25">
      <c r="U279" s="2"/>
    </row>
    <row r="280" spans="21:21" x14ac:dyDescent="0.25">
      <c r="U280" s="2"/>
    </row>
    <row r="281" spans="21:21" x14ac:dyDescent="0.25">
      <c r="U281" s="2"/>
    </row>
    <row r="282" spans="21:21" x14ac:dyDescent="0.25">
      <c r="U282" s="2"/>
    </row>
    <row r="283" spans="21:21" x14ac:dyDescent="0.25">
      <c r="U283" s="2"/>
    </row>
    <row r="284" spans="21:21" x14ac:dyDescent="0.25">
      <c r="U284" s="2"/>
    </row>
    <row r="285" spans="21:21" x14ac:dyDescent="0.25">
      <c r="U285" s="2"/>
    </row>
    <row r="286" spans="21:21" x14ac:dyDescent="0.25">
      <c r="U286" s="2"/>
    </row>
    <row r="287" spans="21:21" x14ac:dyDescent="0.25">
      <c r="U287" s="2"/>
    </row>
    <row r="288" spans="21:21" x14ac:dyDescent="0.25">
      <c r="U288" s="2"/>
    </row>
    <row r="289" spans="21:21" x14ac:dyDescent="0.25">
      <c r="U289" s="2"/>
    </row>
    <row r="290" spans="21:21" x14ac:dyDescent="0.25">
      <c r="U290" s="2"/>
    </row>
    <row r="291" spans="21:21" x14ac:dyDescent="0.25">
      <c r="U291" s="2"/>
    </row>
    <row r="292" spans="21:21" x14ac:dyDescent="0.25">
      <c r="U292" s="2"/>
    </row>
    <row r="293" spans="21:21" x14ac:dyDescent="0.25">
      <c r="U293" s="2"/>
    </row>
    <row r="294" spans="21:21" x14ac:dyDescent="0.25">
      <c r="U294" s="2"/>
    </row>
    <row r="295" spans="21:21" x14ac:dyDescent="0.25">
      <c r="U295" s="2"/>
    </row>
    <row r="296" spans="21:21" x14ac:dyDescent="0.25">
      <c r="U296" s="2"/>
    </row>
    <row r="297" spans="21:21" x14ac:dyDescent="0.25">
      <c r="U297" s="2"/>
    </row>
    <row r="298" spans="21:21" x14ac:dyDescent="0.25">
      <c r="U298" s="2"/>
    </row>
    <row r="299" spans="21:21" x14ac:dyDescent="0.25">
      <c r="U299" s="2"/>
    </row>
    <row r="300" spans="21:21" x14ac:dyDescent="0.25">
      <c r="U300" s="2"/>
    </row>
    <row r="301" spans="21:21" x14ac:dyDescent="0.25">
      <c r="U301" s="2"/>
    </row>
    <row r="302" spans="21:21" x14ac:dyDescent="0.25">
      <c r="U302" s="2"/>
    </row>
    <row r="303" spans="21:21" x14ac:dyDescent="0.25">
      <c r="U303" s="2"/>
    </row>
    <row r="304" spans="21:21" x14ac:dyDescent="0.25">
      <c r="U304" s="2"/>
    </row>
    <row r="305" spans="21:21" x14ac:dyDescent="0.25">
      <c r="U305" s="2"/>
    </row>
    <row r="306" spans="21:21" x14ac:dyDescent="0.25">
      <c r="U306" s="2"/>
    </row>
    <row r="307" spans="21:21" x14ac:dyDescent="0.25">
      <c r="U307" s="2"/>
    </row>
    <row r="308" spans="21:21" x14ac:dyDescent="0.25">
      <c r="U308" s="2"/>
    </row>
    <row r="309" spans="21:21" x14ac:dyDescent="0.25">
      <c r="U309" s="2"/>
    </row>
    <row r="310" spans="21:21" x14ac:dyDescent="0.25">
      <c r="U310" s="2"/>
    </row>
    <row r="311" spans="21:21" x14ac:dyDescent="0.25">
      <c r="U311" s="2"/>
    </row>
    <row r="312" spans="21:21" x14ac:dyDescent="0.25">
      <c r="U312" s="2"/>
    </row>
    <row r="313" spans="21:21" x14ac:dyDescent="0.25">
      <c r="U313" s="2"/>
    </row>
    <row r="314" spans="21:21" x14ac:dyDescent="0.25">
      <c r="U314" s="2"/>
    </row>
    <row r="315" spans="21:21" x14ac:dyDescent="0.25">
      <c r="U315" s="2"/>
    </row>
    <row r="316" spans="21:21" x14ac:dyDescent="0.25">
      <c r="U316" s="2"/>
    </row>
    <row r="317" spans="21:21" x14ac:dyDescent="0.25">
      <c r="U317" s="2"/>
    </row>
    <row r="318" spans="21:21" x14ac:dyDescent="0.25">
      <c r="U318" s="2"/>
    </row>
    <row r="319" spans="21:21" x14ac:dyDescent="0.25">
      <c r="U319" s="2"/>
    </row>
    <row r="320" spans="21:21" x14ac:dyDescent="0.25">
      <c r="U320" s="2"/>
    </row>
    <row r="321" spans="21:21" x14ac:dyDescent="0.25">
      <c r="U321" s="2"/>
    </row>
    <row r="322" spans="21:21" x14ac:dyDescent="0.25">
      <c r="U322" s="2"/>
    </row>
    <row r="323" spans="21:21" x14ac:dyDescent="0.25">
      <c r="U323" s="2"/>
    </row>
    <row r="324" spans="21:21" x14ac:dyDescent="0.25">
      <c r="U324" s="2"/>
    </row>
    <row r="325" spans="21:21" x14ac:dyDescent="0.25">
      <c r="U325" s="2"/>
    </row>
    <row r="326" spans="21:21" x14ac:dyDescent="0.25">
      <c r="U326" s="2"/>
    </row>
    <row r="327" spans="21:21" x14ac:dyDescent="0.25">
      <c r="U327" s="2"/>
    </row>
    <row r="328" spans="21:21" x14ac:dyDescent="0.25">
      <c r="U328" s="2"/>
    </row>
    <row r="329" spans="21:21" x14ac:dyDescent="0.25">
      <c r="U329" s="2"/>
    </row>
    <row r="330" spans="21:21" x14ac:dyDescent="0.25">
      <c r="U330" s="2"/>
    </row>
    <row r="331" spans="21:21" x14ac:dyDescent="0.25">
      <c r="U331" s="2"/>
    </row>
    <row r="332" spans="21:21" x14ac:dyDescent="0.25">
      <c r="U332" s="2"/>
    </row>
    <row r="333" spans="21:21" x14ac:dyDescent="0.25">
      <c r="U333" s="2"/>
    </row>
    <row r="334" spans="21:21" x14ac:dyDescent="0.25">
      <c r="U334" s="2"/>
    </row>
    <row r="335" spans="21:21" x14ac:dyDescent="0.25">
      <c r="U335" s="2"/>
    </row>
    <row r="336" spans="21:21" x14ac:dyDescent="0.25">
      <c r="U336" s="2"/>
    </row>
    <row r="337" spans="21:21" x14ac:dyDescent="0.25">
      <c r="U337" s="2"/>
    </row>
    <row r="338" spans="21:21" x14ac:dyDescent="0.25">
      <c r="U338" s="2"/>
    </row>
    <row r="339" spans="21:21" x14ac:dyDescent="0.25">
      <c r="U339" s="2"/>
    </row>
    <row r="340" spans="21:21" x14ac:dyDescent="0.25">
      <c r="U340" s="2"/>
    </row>
    <row r="341" spans="21:21" x14ac:dyDescent="0.25">
      <c r="U341" s="2"/>
    </row>
    <row r="342" spans="21:21" x14ac:dyDescent="0.25">
      <c r="U342" s="2"/>
    </row>
    <row r="343" spans="21:21" x14ac:dyDescent="0.25">
      <c r="U343" s="2"/>
    </row>
    <row r="344" spans="21:21" x14ac:dyDescent="0.25">
      <c r="U344" s="2"/>
    </row>
    <row r="345" spans="21:21" x14ac:dyDescent="0.25">
      <c r="U345" s="2"/>
    </row>
    <row r="346" spans="21:21" x14ac:dyDescent="0.25">
      <c r="U346" s="2"/>
    </row>
    <row r="347" spans="21:21" x14ac:dyDescent="0.25">
      <c r="U347" s="2"/>
    </row>
    <row r="348" spans="21:21" x14ac:dyDescent="0.25">
      <c r="U348" s="2"/>
    </row>
    <row r="349" spans="21:21" x14ac:dyDescent="0.25">
      <c r="U349" s="2"/>
    </row>
    <row r="350" spans="21:21" x14ac:dyDescent="0.25">
      <c r="U350" s="2"/>
    </row>
    <row r="351" spans="21:21" x14ac:dyDescent="0.25">
      <c r="U351" s="2"/>
    </row>
    <row r="352" spans="21:21" x14ac:dyDescent="0.25">
      <c r="U352" s="2"/>
    </row>
    <row r="353" spans="21:21" x14ac:dyDescent="0.25">
      <c r="U353" s="2"/>
    </row>
    <row r="354" spans="21:21" x14ac:dyDescent="0.25">
      <c r="U354" s="2"/>
    </row>
    <row r="355" spans="21:21" x14ac:dyDescent="0.25">
      <c r="U355" s="2"/>
    </row>
    <row r="356" spans="21:21" x14ac:dyDescent="0.25">
      <c r="U356" s="2"/>
    </row>
    <row r="357" spans="21:21" x14ac:dyDescent="0.25">
      <c r="U357" s="2"/>
    </row>
    <row r="358" spans="21:21" x14ac:dyDescent="0.25">
      <c r="U358" s="2"/>
    </row>
    <row r="359" spans="21:21" x14ac:dyDescent="0.25">
      <c r="U359" s="2"/>
    </row>
    <row r="360" spans="21:21" x14ac:dyDescent="0.25">
      <c r="U360" s="2"/>
    </row>
    <row r="361" spans="21:21" x14ac:dyDescent="0.25">
      <c r="U361" s="2"/>
    </row>
    <row r="362" spans="21:21" x14ac:dyDescent="0.25">
      <c r="U362" s="2"/>
    </row>
    <row r="363" spans="21:21" x14ac:dyDescent="0.25">
      <c r="U363" s="2"/>
    </row>
    <row r="364" spans="21:21" x14ac:dyDescent="0.25">
      <c r="U364" s="2"/>
    </row>
    <row r="365" spans="21:21" x14ac:dyDescent="0.25">
      <c r="U365" s="2"/>
    </row>
    <row r="366" spans="21:21" x14ac:dyDescent="0.25">
      <c r="U366" s="2"/>
    </row>
    <row r="367" spans="21:21" x14ac:dyDescent="0.25">
      <c r="U367" s="2"/>
    </row>
    <row r="368" spans="21:21" x14ac:dyDescent="0.25">
      <c r="U368" s="2"/>
    </row>
    <row r="369" spans="21:21" x14ac:dyDescent="0.25">
      <c r="U369" s="2"/>
    </row>
    <row r="370" spans="21:21" x14ac:dyDescent="0.25">
      <c r="U370" s="2"/>
    </row>
    <row r="371" spans="21:21" x14ac:dyDescent="0.25">
      <c r="U371" s="2"/>
    </row>
    <row r="372" spans="21:21" x14ac:dyDescent="0.25">
      <c r="U372" s="2"/>
    </row>
    <row r="373" spans="21:21" x14ac:dyDescent="0.25">
      <c r="U373" s="2"/>
    </row>
    <row r="374" spans="21:21" x14ac:dyDescent="0.25">
      <c r="U374" s="2"/>
    </row>
    <row r="375" spans="21:21" x14ac:dyDescent="0.25">
      <c r="U375" s="2"/>
    </row>
    <row r="376" spans="21:21" x14ac:dyDescent="0.25">
      <c r="U376" s="2"/>
    </row>
    <row r="377" spans="21:21" x14ac:dyDescent="0.25">
      <c r="U377" s="2"/>
    </row>
    <row r="378" spans="21:21" x14ac:dyDescent="0.25">
      <c r="U378" s="2"/>
    </row>
    <row r="379" spans="21:21" x14ac:dyDescent="0.25">
      <c r="U379" s="2"/>
    </row>
    <row r="380" spans="21:21" x14ac:dyDescent="0.25">
      <c r="U380" s="2"/>
    </row>
    <row r="381" spans="21:21" x14ac:dyDescent="0.25">
      <c r="U381" s="2"/>
    </row>
    <row r="382" spans="21:21" x14ac:dyDescent="0.25">
      <c r="U382" s="2"/>
    </row>
    <row r="383" spans="21:21" x14ac:dyDescent="0.25">
      <c r="U383" s="2"/>
    </row>
    <row r="384" spans="21:21" x14ac:dyDescent="0.25">
      <c r="U384" s="2"/>
    </row>
    <row r="385" spans="21:21" x14ac:dyDescent="0.25">
      <c r="U385" s="2"/>
    </row>
    <row r="386" spans="21:21" x14ac:dyDescent="0.25">
      <c r="U386" s="2"/>
    </row>
    <row r="387" spans="21:21" x14ac:dyDescent="0.25">
      <c r="U387" s="2"/>
    </row>
    <row r="388" spans="21:21" x14ac:dyDescent="0.25">
      <c r="U388" s="2"/>
    </row>
    <row r="389" spans="21:21" x14ac:dyDescent="0.25">
      <c r="U389" s="2"/>
    </row>
    <row r="390" spans="21:21" x14ac:dyDescent="0.25">
      <c r="U390" s="2"/>
    </row>
    <row r="391" spans="21:21" x14ac:dyDescent="0.25">
      <c r="U391" s="2"/>
    </row>
    <row r="392" spans="21:21" x14ac:dyDescent="0.25">
      <c r="U392" s="2"/>
    </row>
    <row r="393" spans="21:21" x14ac:dyDescent="0.25">
      <c r="U393" s="2"/>
    </row>
    <row r="394" spans="21:21" x14ac:dyDescent="0.25">
      <c r="U394" s="2"/>
    </row>
    <row r="395" spans="21:21" x14ac:dyDescent="0.25">
      <c r="U395" s="2"/>
    </row>
    <row r="396" spans="21:21" x14ac:dyDescent="0.25">
      <c r="U396" s="2"/>
    </row>
    <row r="397" spans="21:21" x14ac:dyDescent="0.25">
      <c r="U397" s="2"/>
    </row>
    <row r="398" spans="21:21" x14ac:dyDescent="0.25">
      <c r="U398" s="2"/>
    </row>
    <row r="399" spans="21:21" x14ac:dyDescent="0.25">
      <c r="U399" s="2"/>
    </row>
    <row r="400" spans="21:21" x14ac:dyDescent="0.25">
      <c r="U400" s="2"/>
    </row>
    <row r="401" spans="21:21" x14ac:dyDescent="0.25">
      <c r="U401" s="2"/>
    </row>
    <row r="402" spans="21:21" x14ac:dyDescent="0.25">
      <c r="U402" s="2"/>
    </row>
    <row r="403" spans="21:21" x14ac:dyDescent="0.25">
      <c r="U403" s="2"/>
    </row>
    <row r="404" spans="21:21" x14ac:dyDescent="0.25">
      <c r="U404" s="2"/>
    </row>
    <row r="405" spans="21:21" x14ac:dyDescent="0.25">
      <c r="U405" s="2"/>
    </row>
    <row r="406" spans="21:21" x14ac:dyDescent="0.25">
      <c r="U406" s="2"/>
    </row>
    <row r="407" spans="21:21" x14ac:dyDescent="0.25">
      <c r="U407" s="2"/>
    </row>
    <row r="408" spans="21:21" x14ac:dyDescent="0.25">
      <c r="U408" s="2"/>
    </row>
    <row r="409" spans="21:21" x14ac:dyDescent="0.25">
      <c r="U409" s="2"/>
    </row>
    <row r="410" spans="21:21" x14ac:dyDescent="0.25">
      <c r="U410" s="2"/>
    </row>
    <row r="411" spans="21:21" x14ac:dyDescent="0.25">
      <c r="U411" s="2"/>
    </row>
    <row r="412" spans="21:21" x14ac:dyDescent="0.25">
      <c r="U412" s="2"/>
    </row>
    <row r="413" spans="21:21" x14ac:dyDescent="0.25">
      <c r="U413" s="2"/>
    </row>
    <row r="414" spans="21:21" x14ac:dyDescent="0.25">
      <c r="U414" s="2"/>
    </row>
    <row r="415" spans="21:21" x14ac:dyDescent="0.25">
      <c r="U415" s="2"/>
    </row>
    <row r="416" spans="21:21" x14ac:dyDescent="0.25">
      <c r="U416" s="2"/>
    </row>
    <row r="417" spans="21:21" x14ac:dyDescent="0.25">
      <c r="U417" s="2"/>
    </row>
    <row r="418" spans="21:21" x14ac:dyDescent="0.25">
      <c r="U418" s="2"/>
    </row>
    <row r="419" spans="21:21" x14ac:dyDescent="0.25">
      <c r="U419" s="2"/>
    </row>
    <row r="420" spans="21:21" x14ac:dyDescent="0.25">
      <c r="U420" s="2"/>
    </row>
    <row r="421" spans="21:21" x14ac:dyDescent="0.25">
      <c r="U421" s="2"/>
    </row>
    <row r="422" spans="21:21" x14ac:dyDescent="0.25">
      <c r="U422" s="2"/>
    </row>
    <row r="423" spans="21:21" x14ac:dyDescent="0.25">
      <c r="U423" s="2"/>
    </row>
    <row r="424" spans="21:21" x14ac:dyDescent="0.25">
      <c r="U424" s="2"/>
    </row>
    <row r="425" spans="21:21" x14ac:dyDescent="0.25">
      <c r="U425" s="2"/>
    </row>
    <row r="426" spans="21:21" x14ac:dyDescent="0.25">
      <c r="U426" s="2"/>
    </row>
    <row r="427" spans="21:21" x14ac:dyDescent="0.25">
      <c r="U427" s="2"/>
    </row>
    <row r="428" spans="21:21" x14ac:dyDescent="0.25">
      <c r="U428" s="2"/>
    </row>
    <row r="429" spans="21:21" x14ac:dyDescent="0.25">
      <c r="U429" s="2"/>
    </row>
    <row r="430" spans="21:21" x14ac:dyDescent="0.25">
      <c r="U430" s="2"/>
    </row>
    <row r="431" spans="21:21" x14ac:dyDescent="0.25">
      <c r="U431" s="2"/>
    </row>
    <row r="432" spans="21:21" x14ac:dyDescent="0.25">
      <c r="U432" s="2"/>
    </row>
    <row r="433" spans="21:21" x14ac:dyDescent="0.25">
      <c r="U433" s="2"/>
    </row>
    <row r="434" spans="21:21" x14ac:dyDescent="0.25">
      <c r="U434" s="2"/>
    </row>
    <row r="435" spans="21:21" x14ac:dyDescent="0.25">
      <c r="U435" s="2"/>
    </row>
    <row r="436" spans="21:21" x14ac:dyDescent="0.25">
      <c r="U436" s="2"/>
    </row>
    <row r="437" spans="21:21" x14ac:dyDescent="0.25">
      <c r="U437" s="2"/>
    </row>
    <row r="438" spans="21:21" x14ac:dyDescent="0.25">
      <c r="U438" s="2"/>
    </row>
    <row r="439" spans="21:21" x14ac:dyDescent="0.25">
      <c r="U439" s="2"/>
    </row>
    <row r="440" spans="21:21" x14ac:dyDescent="0.25">
      <c r="U440" s="2"/>
    </row>
    <row r="441" spans="21:21" x14ac:dyDescent="0.25">
      <c r="U441" s="2"/>
    </row>
    <row r="442" spans="21:21" x14ac:dyDescent="0.25">
      <c r="U442" s="2"/>
    </row>
    <row r="443" spans="21:21" x14ac:dyDescent="0.25">
      <c r="U443" s="2"/>
    </row>
  </sheetData>
  <dataValidations count="2">
    <dataValidation type="list" allowBlank="1" showInputMessage="1" showErrorMessage="1" sqref="D12 D25" xr:uid="{00000000-0002-0000-0000-000000000000}">
      <formula1>gérald</formula1>
    </dataValidation>
    <dataValidation type="list" allowBlank="1" showInputMessage="1" showErrorMessage="1" sqref="D5:D11 D18:D24" xr:uid="{00000000-0002-0000-0000-000001000000}">
      <formula1>gerald2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37"/>
  <sheetViews>
    <sheetView topLeftCell="B1" zoomScale="75" zoomScaleNormal="75" workbookViewId="0">
      <selection activeCell="C4" sqref="C4"/>
    </sheetView>
  </sheetViews>
  <sheetFormatPr baseColWidth="10" defaultRowHeight="15" x14ac:dyDescent="0.25"/>
  <cols>
    <col min="1" max="1" width="6.140625" customWidth="1"/>
    <col min="2" max="2" width="31.140625" customWidth="1"/>
    <col min="3" max="3" width="13.28515625" customWidth="1"/>
    <col min="4" max="4" width="14.5703125" customWidth="1"/>
    <col min="5" max="5" width="12.5703125" customWidth="1"/>
    <col min="6" max="6" width="25.85546875" customWidth="1"/>
    <col min="7" max="7" width="15.28515625" customWidth="1"/>
    <col min="8" max="8" width="9.7109375" customWidth="1"/>
    <col min="9" max="9" width="6.7109375" hidden="1" customWidth="1"/>
    <col min="10" max="10" width="12.42578125" customWidth="1"/>
    <col min="11" max="11" width="13" customWidth="1"/>
    <col min="12" max="12" width="8.28515625" customWidth="1"/>
    <col min="13" max="13" width="7" customWidth="1"/>
    <col min="14" max="14" width="11.42578125" customWidth="1"/>
    <col min="15" max="15" width="14.7109375" customWidth="1"/>
    <col min="16" max="16" width="5" customWidth="1"/>
    <col min="17" max="17" width="31.140625" customWidth="1"/>
    <col min="18" max="18" width="21.140625" customWidth="1"/>
  </cols>
  <sheetData>
    <row r="2" spans="1:20" x14ac:dyDescent="0.25">
      <c r="A2" s="16"/>
      <c r="B2" s="62"/>
      <c r="C2" s="63" t="s">
        <v>86</v>
      </c>
      <c r="F2" s="62"/>
      <c r="G2" s="105" t="s">
        <v>82</v>
      </c>
      <c r="H2" s="106"/>
      <c r="K2" s="83"/>
      <c r="L2" s="102" t="s">
        <v>75</v>
      </c>
      <c r="M2" s="84"/>
      <c r="N2" s="83"/>
      <c r="O2" s="100" t="s">
        <v>87</v>
      </c>
      <c r="Q2" s="94"/>
      <c r="R2" s="95" t="s">
        <v>90</v>
      </c>
    </row>
    <row r="3" spans="1:20" x14ac:dyDescent="0.25">
      <c r="A3" s="16"/>
      <c r="B3" s="71"/>
      <c r="C3" s="112" t="s">
        <v>53</v>
      </c>
      <c r="D3" s="18"/>
      <c r="F3" s="64" t="s">
        <v>23</v>
      </c>
      <c r="G3" s="65">
        <f>COUNTIF('planning '!$D$6:$D$14,F3)</f>
        <v>0</v>
      </c>
      <c r="H3" s="69">
        <f>G3*'bases de donnée'!E5</f>
        <v>0</v>
      </c>
      <c r="K3" s="101" t="s">
        <v>74</v>
      </c>
      <c r="L3" s="85"/>
      <c r="M3" s="85" t="s">
        <v>51</v>
      </c>
      <c r="N3" s="90" t="s">
        <v>72</v>
      </c>
      <c r="O3" s="85" t="s">
        <v>73</v>
      </c>
      <c r="Q3" s="96" t="s">
        <v>32</v>
      </c>
      <c r="R3" s="15">
        <f>SUM('planning '!AB12:AB14)</f>
        <v>0</v>
      </c>
    </row>
    <row r="4" spans="1:20" x14ac:dyDescent="0.25">
      <c r="A4" s="16"/>
      <c r="B4" s="64" t="s">
        <v>21</v>
      </c>
      <c r="C4" s="65">
        <f>COUNTIF('planning '!$D$6:$D$14,B4)</f>
        <v>6</v>
      </c>
      <c r="F4" s="64" t="s">
        <v>24</v>
      </c>
      <c r="G4" s="65">
        <f>COUNTIF('planning '!$D$6:$D$14,F4)</f>
        <v>0</v>
      </c>
      <c r="H4" s="68">
        <f>SUM(G4*'bases de donnée'!E24)</f>
        <v>0</v>
      </c>
      <c r="K4" s="81" t="s">
        <v>39</v>
      </c>
      <c r="L4" s="82">
        <f>SUMPRODUCT((YEAR('planning '!$C$6:$C$14)='bases de donnée'!E$2)*(MONTH('planning '!$C$6:$C$14)=MONTH(1&amp;K4))*('planning '!$U$6:$U$14))</f>
        <v>0</v>
      </c>
      <c r="M4" s="14">
        <f>IF(SUM(L4-'bases de donnée'!E$12)&lt;0,0,SUM(L4-'bases de donnée'!E$12))</f>
        <v>0</v>
      </c>
      <c r="N4" s="82">
        <f>SUMPRODUCT((YEAR('planning '!$C$6:$C$14)='bases de donnée'!E$2)*(MONTH('planning '!$C$6:$C$14)=MONTH(1&amp;K4))*('planning '!$Z$6:$Z$14))</f>
        <v>0</v>
      </c>
      <c r="O4" s="82">
        <f>IF(N4&lt;0.625,N4*'bases de donnée'!$E$14,(0.583333*'bases de donnée'!$E$14)+(N4-0.583333)*'bases de donnée'!$E$15)*24</f>
        <v>0</v>
      </c>
      <c r="Q4" s="97" t="s">
        <v>36</v>
      </c>
      <c r="R4" s="23">
        <f>SUM('planning '!AC12:AC16)</f>
        <v>0</v>
      </c>
    </row>
    <row r="5" spans="1:20" x14ac:dyDescent="0.25">
      <c r="A5" s="16"/>
      <c r="B5" s="64" t="s">
        <v>20</v>
      </c>
      <c r="C5" s="65">
        <f>COUNTIF('planning '!$D$6:$D$14,B5)</f>
        <v>0</v>
      </c>
      <c r="F5" s="64" t="s">
        <v>25</v>
      </c>
      <c r="G5" s="65">
        <f>COUNTIF('planning '!$D$6:$D$14,F5)</f>
        <v>0</v>
      </c>
      <c r="H5" s="69">
        <f>G5*'bases de donnée'!E25</f>
        <v>0</v>
      </c>
      <c r="K5" s="81" t="s">
        <v>40</v>
      </c>
      <c r="L5" s="82">
        <f>SUMPRODUCT((YEAR('planning '!$C$6:$C$14)='bases de donnée'!E$2)*(MONTH('planning '!$C$6:$C$14)=MONTH(1&amp;K5))*('planning '!$U$6:$U$14))</f>
        <v>0</v>
      </c>
      <c r="M5" s="14">
        <f>IF(SUM(L5-'bases de donnée'!E$12)&lt;0,0,SUM(L5-'bases de donnée'!E$12))</f>
        <v>0</v>
      </c>
      <c r="N5" s="82">
        <f>SUMPRODUCT((YEAR('planning '!$C$6:$C$14)='bases de donnée'!E$2)*(MONTH('planning '!$C$6:$C$14)=MONTH(1&amp;K5))*('planning '!$Z$6:$Z$14))</f>
        <v>0</v>
      </c>
      <c r="O5" s="82">
        <f>IF(N5&lt;0.625,N5*'bases de donnée'!$E$14,(0.583333*'bases de donnée'!$E$14)+(N5-0.583333)*'bases de donnée'!$E$15)*24</f>
        <v>0</v>
      </c>
      <c r="Q5" s="97" t="s">
        <v>68</v>
      </c>
      <c r="R5" s="23">
        <f>SUM('planning '!AD12:AD16)</f>
        <v>0</v>
      </c>
    </row>
    <row r="6" spans="1:20" x14ac:dyDescent="0.25">
      <c r="B6" s="64" t="s">
        <v>22</v>
      </c>
      <c r="C6" s="65">
        <f>COUNTIF('planning '!$D$6:$D$14,B6)</f>
        <v>0</v>
      </c>
      <c r="D6" s="30"/>
      <c r="F6" s="64" t="s">
        <v>79</v>
      </c>
      <c r="G6" s="107">
        <f>SUM(G3:G5)</f>
        <v>0</v>
      </c>
      <c r="H6" s="68">
        <f>SUM(H3+H4+H5)</f>
        <v>0</v>
      </c>
      <c r="K6" s="81" t="s">
        <v>41</v>
      </c>
      <c r="L6" s="82">
        <f>SUMPRODUCT((YEAR('planning '!$C$6:$C$14)='bases de donnée'!E$2)*(MONTH('planning '!$C$6:$C$14)=MONTH(1&amp;K6))*('planning '!$U$6:$U$14))</f>
        <v>0</v>
      </c>
      <c r="M6" s="14">
        <f>IF(SUM(L6-'bases de donnée'!E$12)&lt;0,0,SUM(L6-'bases de donnée'!E$12))</f>
        <v>0</v>
      </c>
      <c r="N6" s="82">
        <f>SUMPRODUCT((YEAR('planning '!$C$6:$C$14)='bases de donnée'!E$2)*(MONTH('planning '!$C$6:$C$14)=MONTH(1&amp;K6))*('planning '!$Z$6:$Z$14))</f>
        <v>0</v>
      </c>
      <c r="O6" s="82">
        <f>IF(N6&lt;0.625,N6*'bases de donnée'!$E$14,(0.583333*'bases de donnée'!$E$14)+(N6-0.583333)*'bases de donnée'!$E$15)*24</f>
        <v>0</v>
      </c>
    </row>
    <row r="7" spans="1:20" x14ac:dyDescent="0.25">
      <c r="B7" s="64" t="s">
        <v>26</v>
      </c>
      <c r="C7" s="65">
        <f>COUNTIF('planning '!$D$6:$D$14,B7)</f>
        <v>0</v>
      </c>
      <c r="D7" s="30"/>
      <c r="K7" s="81" t="s">
        <v>42</v>
      </c>
      <c r="L7" s="82">
        <f>SUMPRODUCT((YEAR('planning '!$C$6:$C$14)='bases de donnée'!E$2)*(MONTH('planning '!$C$6:$C$14)=MONTH(1&amp;K7))*('planning '!$U$6:$U$14))</f>
        <v>0</v>
      </c>
      <c r="M7" s="14">
        <f>IF(SUM(L7-'bases de donnée'!E$12)&lt;0,0,SUM(L7-'bases de donnée'!E$12))</f>
        <v>0</v>
      </c>
      <c r="N7" s="82">
        <f>SUMPRODUCT((YEAR('planning '!$C$6:$C$14)='bases de donnée'!E$2)*(MONTH('planning '!$C$6:$C$14)=MONTH(1&amp;K7))*('planning '!$Z$6:$Z$14))</f>
        <v>0</v>
      </c>
      <c r="O7" s="82">
        <f>IF(N7&lt;0.625,N7*'bases de donnée'!$E$14,(0.583333*'bases de donnée'!$E$14)+(N7-0.583333)*'bases de donnée'!$E$15)*24</f>
        <v>0</v>
      </c>
      <c r="S7" s="16"/>
      <c r="T7" s="17"/>
    </row>
    <row r="8" spans="1:20" x14ac:dyDescent="0.25">
      <c r="B8" s="64" t="s">
        <v>27</v>
      </c>
      <c r="C8" s="65">
        <f>COUNTIF('planning '!$D$6:$D$14,B8)</f>
        <v>0</v>
      </c>
      <c r="D8" s="30"/>
      <c r="F8" s="62"/>
      <c r="G8" s="110" t="s">
        <v>83</v>
      </c>
      <c r="K8" s="81" t="s">
        <v>43</v>
      </c>
      <c r="L8" s="82">
        <f>SUMPRODUCT((YEAR('planning '!$C$6:$C$14)='bases de donnée'!E$2)*(MONTH('planning '!$C$6:$C$14)=MONTH(1&amp;K8))*('planning '!$U$6:$U$14))</f>
        <v>0</v>
      </c>
      <c r="M8" s="14">
        <f>IF(SUM(L8-'bases de donnée'!E$12)&lt;0,0,SUM(L8-'bases de donnée'!E$12))</f>
        <v>0</v>
      </c>
      <c r="N8" s="82">
        <f>SUMPRODUCT((YEAR('planning '!$C$6:$C$14)='bases de donnée'!E$2)*(MONTH('planning '!$C$6:$C$14)=MONTH(1&amp;K8))*('planning '!$Z$6:$Z$14))</f>
        <v>0</v>
      </c>
      <c r="O8" s="82">
        <f>IF(N8&lt;0.625,N8*'bases de donnée'!$E$14,(0.583333*'bases de donnée'!$E$14)+(N8-0.583333)*'bases de donnée'!$E$15)*24</f>
        <v>0</v>
      </c>
    </row>
    <row r="9" spans="1:20" x14ac:dyDescent="0.25">
      <c r="B9" s="64" t="s">
        <v>28</v>
      </c>
      <c r="C9" s="65">
        <f>COUNTIF('planning '!$D$6:$D$14,B9)</f>
        <v>0</v>
      </c>
      <c r="D9" s="30"/>
      <c r="F9" s="104" t="s">
        <v>77</v>
      </c>
      <c r="G9" s="65">
        <f>COUNTIF('planning '!$D$6:$D$14,F9)</f>
        <v>0</v>
      </c>
      <c r="H9" s="111"/>
      <c r="K9" s="81" t="s">
        <v>44</v>
      </c>
      <c r="L9" s="82">
        <f>SUMPRODUCT((YEAR('planning '!$C$6:$C$14)='bases de donnée'!E$2)*(MONTH('planning '!$C$6:$C$14)=MONTH(1&amp;K9))*('planning '!$U$6:$U$14))</f>
        <v>0</v>
      </c>
      <c r="M9" s="14">
        <f>IF(SUM(L9-'bases de donnée'!E$12)&lt;0,0,SUM(L9-'bases de donnée'!E$12))</f>
        <v>0</v>
      </c>
      <c r="N9" s="82">
        <f>SUMPRODUCT((YEAR('planning '!$C$6:$C$14)='bases de donnée'!E$2)*(MONTH('planning '!$C$6:$C$14)=MONTH(1&amp;K9))*('planning '!$Z$6:$Z$14))</f>
        <v>0</v>
      </c>
      <c r="O9" s="82">
        <f>IF(N9&lt;0.625,N9*'bases de donnée'!$E$14,(0.583333*'bases de donnée'!$E$14)+(N9-0.583333)*'bases de donnée'!$E$15)*24</f>
        <v>0</v>
      </c>
      <c r="R9" s="1"/>
    </row>
    <row r="10" spans="1:20" x14ac:dyDescent="0.25">
      <c r="B10" s="64" t="s">
        <v>29</v>
      </c>
      <c r="C10" s="65">
        <f>COUNTIF('planning '!$D$6:$D$14,B10)</f>
        <v>0</v>
      </c>
      <c r="D10" s="1"/>
      <c r="F10" s="104" t="s">
        <v>78</v>
      </c>
      <c r="G10" s="65">
        <f>COUNTIF('planning '!$D$6:$D$14,F10)</f>
        <v>0</v>
      </c>
      <c r="H10" s="111"/>
      <c r="K10" s="81" t="s">
        <v>45</v>
      </c>
      <c r="L10" s="82">
        <f>SUMPRODUCT((YEAR('planning '!$C$6:$C$14)='bases de donnée'!E$2)*(MONTH('planning '!$C$6:$C$14)=MONTH(1&amp;K10))*('planning '!$U$6:$U$14))</f>
        <v>0</v>
      </c>
      <c r="M10" s="14">
        <f>IF(SUM(L10-'bases de donnée'!E$12)&lt;0,0,SUM(L10-'bases de donnée'!E$12))</f>
        <v>0</v>
      </c>
      <c r="N10" s="82">
        <f>SUMPRODUCT((YEAR('planning '!$C$6:$C$14)='bases de donnée'!E$2)*(MONTH('planning '!$C$6:$C$14)=MONTH(1&amp;K10))*('planning '!$Z$6:$Z$14))</f>
        <v>0</v>
      </c>
      <c r="O10" s="82">
        <f>IF(N10&lt;0.625,N10*'bases de donnée'!$E$14,(0.583333*'bases de donnée'!$E$14)+(N10-0.583333)*'bases de donnée'!$E$15)*24</f>
        <v>0</v>
      </c>
      <c r="R10" s="1"/>
    </row>
    <row r="11" spans="1:20" x14ac:dyDescent="0.25">
      <c r="F11" s="104" t="s">
        <v>76</v>
      </c>
      <c r="G11" s="65">
        <f>COUNTIF('planning '!$D$9:$D$14,F11)</f>
        <v>0</v>
      </c>
      <c r="H11" s="111"/>
      <c r="K11" s="81" t="s">
        <v>46</v>
      </c>
      <c r="L11" s="82">
        <f>SUMPRODUCT((YEAR('planning '!$C$6:$C$14)='bases de donnée'!E$2)*(MONTH('planning '!$C$6:$C$14)=MONTH(1&amp;K11))*('planning '!$U$6:$U$14))</f>
        <v>0</v>
      </c>
      <c r="M11" s="14">
        <f>IF(SUM(L11-'bases de donnée'!E$12)&lt;0,0,SUM(L11-'bases de donnée'!E$12))</f>
        <v>0</v>
      </c>
      <c r="N11" s="82">
        <f>SUMPRODUCT((YEAR('planning '!$C$6:$C$14)='bases de donnée'!E$2)*(MONTH('planning '!$C$6:$C$14)=MONTH(1&amp;K11))*('planning '!$Z$6:$Z$14))</f>
        <v>0</v>
      </c>
      <c r="O11" s="82">
        <f>IF(N11&lt;0.625,N11*'bases de donnée'!$E$14,(0.583333*'bases de donnée'!$E$14)+(N11-0.583333)*'bases de donnée'!$E$15)*24</f>
        <v>0</v>
      </c>
      <c r="R11" s="1"/>
    </row>
    <row r="12" spans="1:20" x14ac:dyDescent="0.25">
      <c r="B12" s="67" t="s">
        <v>61</v>
      </c>
      <c r="C12" s="70">
        <f>SUM(C4+C5+C6+C7+C8+C9+C10+G6+G12+G13)</f>
        <v>6</v>
      </c>
      <c r="F12" s="108" t="s">
        <v>80</v>
      </c>
      <c r="G12" s="107">
        <f>G9+G10</f>
        <v>0</v>
      </c>
      <c r="K12" s="81" t="s">
        <v>47</v>
      </c>
      <c r="L12" s="82">
        <f>SUMPRODUCT((YEAR('planning '!$C$6:$C$14)='bases de donnée'!E$2)*(MONTH('planning '!$C$6:$C$14)=MONTH(1&amp;K12))*('planning '!$U$6:$U$14))</f>
        <v>0</v>
      </c>
      <c r="M12" s="14">
        <f>IF(SUM(L12-'bases de donnée'!E$12)&lt;0,0,SUM(L12-'bases de donnée'!E$12))</f>
        <v>0</v>
      </c>
      <c r="N12" s="82">
        <f>SUMPRODUCT((YEAR('planning '!$C$6:$C$14)='bases de donnée'!E$2)*(MONTH('planning '!$C$6:$C$14)=MONTH(1&amp;K12))*('planning '!$Z$6:$Z$14))</f>
        <v>0</v>
      </c>
      <c r="O12" s="82">
        <f>IF(N12&lt;0.625,N12*'bases de donnée'!$E$14,(0.583333*'bases de donnée'!$E$14)+(N12-0.583333)*'bases de donnée'!$E$15)*24</f>
        <v>0</v>
      </c>
    </row>
    <row r="13" spans="1:20" ht="15" customHeight="1" x14ac:dyDescent="0.35">
      <c r="B13" s="64" t="s">
        <v>84</v>
      </c>
      <c r="C13" s="66">
        <f>SUMPRODUCT((YEAR('planning '!$C$6:$C$14)='bases de donnée'!E$2)*('planning '!$J$6:$J$14))-H6</f>
        <v>0.33333333333333337</v>
      </c>
      <c r="F13" s="109" t="s">
        <v>81</v>
      </c>
      <c r="G13" s="107">
        <f>G11</f>
        <v>0</v>
      </c>
      <c r="K13" s="81" t="s">
        <v>48</v>
      </c>
      <c r="L13" s="82">
        <f>SUMPRODUCT((YEAR('planning '!$C$5:$C$14)='bases de donnée'!E$2)*(MONTH('planning '!$C$5:$C$14)=MONTH(1&amp;K13))*('planning '!$U$5:$U$14))</f>
        <v>0</v>
      </c>
      <c r="M13" s="14">
        <f>IF(SUM(L13-'bases de donnée'!E$12)&lt;0,0,SUM(L13-'bases de donnée'!E$12))</f>
        <v>0</v>
      </c>
      <c r="N13" s="82">
        <f>SUMPRODUCT((YEAR('planning '!$C$6:$C$14)='bases de donnée'!E$2)*(MONTH('planning '!$C$6:$C$14)=MONTH(1&amp;K13))*('planning '!$Z$6:$Z$14))</f>
        <v>0</v>
      </c>
      <c r="O13" s="82">
        <f>IF(N13&lt;0.625,N13*'bases de donnée'!$E$14,(0.583333*'bases de donnée'!$E$14)+(N13-0.583333)*'bases de donnée'!$E$15)*24</f>
        <v>0</v>
      </c>
      <c r="R13" s="40"/>
    </row>
    <row r="14" spans="1:20" ht="15" customHeight="1" x14ac:dyDescent="0.3">
      <c r="K14" s="81" t="s">
        <v>49</v>
      </c>
      <c r="L14" s="82">
        <f>SUMPRODUCT((YEAR('planning '!$C$6:$C$14)='bases de donnée'!E$2)*(MONTH('planning '!$C$6:$C$14)=MONTH(1&amp;K14))*('planning '!$U$6:$U$14))</f>
        <v>0</v>
      </c>
      <c r="M14" s="14">
        <f>IF(SUM(L14-'bases de donnée'!E$12)&lt;0,0,SUM(L14-'bases de donnée'!E$12))</f>
        <v>0</v>
      </c>
      <c r="N14" s="82">
        <f>SUMPRODUCT((YEAR('planning '!$C$6:$C$14)='bases de donnée'!E$2)*(MONTH('planning '!$C$6:$C$14)=MONTH(1&amp;K14))*('planning '!$Z$6:$Z$14))</f>
        <v>0</v>
      </c>
      <c r="O14" s="82">
        <f>IF(N14&lt;0.625,N14*'bases de donnée'!$E$14,(0.583333*'bases de donnée'!$E$14)+(N14-0.583333)*'bases de donnée'!$E$15)*24</f>
        <v>0</v>
      </c>
    </row>
    <row r="15" spans="1:20" x14ac:dyDescent="0.25">
      <c r="K15" s="81" t="s">
        <v>50</v>
      </c>
      <c r="L15" s="82">
        <f>SUMPRODUCT((YEAR('planning '!$C$6:$C$14)='bases de donnée'!E$2)*(MONTH('planning '!$C$6:$C$14)=MONTH(1&amp;K15))*('planning '!$U$6:$U$14))</f>
        <v>0</v>
      </c>
      <c r="M15" s="14">
        <f>IF(SUM(L15-'bases de donnée'!E$12)&lt;0,0,SUM(L15-'bases de donnée'!E$12))</f>
        <v>0</v>
      </c>
      <c r="N15" s="82">
        <f>SUMPRODUCT((YEAR('planning '!$C$6:$C$14)='bases de donnée'!E$2)*(MONTH('planning '!$C$6:$C$14)=MONTH(1&amp;K15))*('planning '!$Z$6:$Z$14))</f>
        <v>0</v>
      </c>
      <c r="O15" s="82">
        <f>IF(N15&lt;0.625,N15*'bases de donnée'!$E$14,(0.583333*'bases de donnée'!$E$14)+(N15-0.583333)*'bases de donnée'!$E$15)*24</f>
        <v>0</v>
      </c>
    </row>
    <row r="16" spans="1:20" x14ac:dyDescent="0.25">
      <c r="B16" s="59"/>
      <c r="C16" s="60"/>
      <c r="D16" s="61" t="s">
        <v>65</v>
      </c>
      <c r="E16" s="18"/>
      <c r="F16" s="79"/>
      <c r="G16" s="80"/>
      <c r="H16" s="74" t="s">
        <v>67</v>
      </c>
    </row>
    <row r="17" spans="2:20" x14ac:dyDescent="0.25">
      <c r="B17" s="89"/>
      <c r="C17" s="37" t="s">
        <v>54</v>
      </c>
      <c r="D17" s="89" t="s">
        <v>73</v>
      </c>
      <c r="E17" s="3"/>
      <c r="F17" s="73"/>
      <c r="G17" s="74"/>
      <c r="H17" s="12" t="s">
        <v>51</v>
      </c>
    </row>
    <row r="18" spans="2:20" ht="14.45" x14ac:dyDescent="0.3">
      <c r="B18" s="37" t="s">
        <v>59</v>
      </c>
      <c r="C18" s="88">
        <f>SUM(N4:N15)</f>
        <v>0</v>
      </c>
      <c r="D18" s="36">
        <f>SUM(O4:O15)</f>
        <v>0</v>
      </c>
      <c r="E18" s="16"/>
      <c r="F18" s="75"/>
      <c r="G18" s="74" t="s">
        <v>93</v>
      </c>
      <c r="H18" s="24">
        <f>IF(SUM(C13-'bases de donnée'!E$3)&lt;0,0,SUM(C13-'bases de donnée'!E$3))</f>
        <v>0</v>
      </c>
    </row>
    <row r="19" spans="2:20" ht="14.45" x14ac:dyDescent="0.3">
      <c r="B19" s="37" t="s">
        <v>31</v>
      </c>
      <c r="C19" s="35">
        <f>SUMPRODUCT((YEAR('planning '!$C$6:$C$14)='bases de donnée'!E$2)*('planning '!$W$6:$W$14))</f>
        <v>0</v>
      </c>
      <c r="D19" s="35">
        <f>SUM(C19*'bases de donnée'!E17)*24</f>
        <v>0</v>
      </c>
      <c r="E19" s="3"/>
      <c r="F19" s="75"/>
      <c r="G19" s="74" t="s">
        <v>70</v>
      </c>
      <c r="H19" s="24">
        <f>SUM('planning '!K5:K14)</f>
        <v>0</v>
      </c>
      <c r="O19" s="16"/>
    </row>
    <row r="20" spans="2:20" ht="14.45" x14ac:dyDescent="0.3">
      <c r="B20" s="37" t="s">
        <v>30</v>
      </c>
      <c r="C20" s="35">
        <f>SUMPRODUCT((YEAR('planning '!$C$6:$C$14)='bases de donnée'!E$2)*('planning '!$X$6:$X$14))</f>
        <v>0</v>
      </c>
      <c r="D20" s="35">
        <f>SUM(C20*'bases de donnée'!E18)*24</f>
        <v>0</v>
      </c>
      <c r="F20" s="75"/>
      <c r="G20" s="74" t="s">
        <v>69</v>
      </c>
      <c r="H20" s="24">
        <f>SUM('planning '!M5:M14)</f>
        <v>0</v>
      </c>
      <c r="O20" s="16"/>
    </row>
    <row r="21" spans="2:20" ht="15.75" thickBot="1" x14ac:dyDescent="0.3">
      <c r="B21" s="37" t="s">
        <v>60</v>
      </c>
      <c r="C21" s="57">
        <f>SUMPRODUCT((YEAR('planning '!$C$6:$C$14)='bases de donnée'!E$2)*('planning '!$Y$6:$Y$14))</f>
        <v>0</v>
      </c>
      <c r="D21" s="57">
        <f>SUM(C21*'bases de donnée'!E19)*24</f>
        <v>0</v>
      </c>
      <c r="F21" s="75"/>
      <c r="G21" s="74" t="s">
        <v>91</v>
      </c>
      <c r="H21" s="113" t="e">
        <f>SUM('planning '!O6+'planning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O21" s="16"/>
    </row>
    <row r="22" spans="2:20" ht="15.75" thickBot="1" x14ac:dyDescent="0.3">
      <c r="B22" s="58" t="s">
        <v>94</v>
      </c>
      <c r="C22" s="59"/>
      <c r="D22" s="116">
        <v>3.6041666666666665</v>
      </c>
      <c r="F22" s="76"/>
      <c r="G22" s="77" t="s">
        <v>88</v>
      </c>
      <c r="H22" s="72" t="e">
        <f>SUM('planning '!O11+'planning '!#REF!+'planning '!#REF!+'planning '!#REF!+'planning '!#REF!+'planning '!#REF!+'planning '!#REF!+'planning '!#REF!+'planning '!#REF!+'planning '!#REF!+'planning '!#REF!+'planning '!#REF!+'planning '!#REF!+'planning '!#REF!++'planning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O22" s="16"/>
    </row>
    <row r="23" spans="2:20" x14ac:dyDescent="0.25">
      <c r="B23" s="58" t="s">
        <v>66</v>
      </c>
      <c r="C23" s="99"/>
      <c r="D23" s="115">
        <f>SUM(C6*'bases de donnée'!E5)</f>
        <v>0</v>
      </c>
      <c r="F23" s="73"/>
      <c r="G23" s="78" t="s">
        <v>52</v>
      </c>
      <c r="H23" s="23">
        <f>IF(SUM(H6-'bases de donnée'!E$13)&lt;0,0,SUM(H6-'bases de donnée'!E$13))</f>
        <v>0</v>
      </c>
      <c r="O23" s="16"/>
    </row>
    <row r="24" spans="2:20" x14ac:dyDescent="0.25">
      <c r="C24" s="58" t="s">
        <v>85</v>
      </c>
      <c r="D24" s="35">
        <f>SUM(D18+D19+D20+D21+D22-D23)</f>
        <v>3.6041666666666665</v>
      </c>
      <c r="F24" s="91"/>
      <c r="G24" s="92" t="s">
        <v>71</v>
      </c>
      <c r="H24" s="93" t="e">
        <f>SUM('planning '!#REF!)</f>
        <v>#REF!</v>
      </c>
      <c r="O24" s="117"/>
    </row>
    <row r="25" spans="2:20" ht="14.45" x14ac:dyDescent="0.3">
      <c r="F25" s="73"/>
      <c r="G25" s="74" t="s">
        <v>89</v>
      </c>
      <c r="H25" s="23">
        <f>SUM(M4:M15)</f>
        <v>0</v>
      </c>
      <c r="O25" s="114"/>
      <c r="P25" s="17"/>
    </row>
    <row r="26" spans="2:20" ht="14.45" x14ac:dyDescent="0.3">
      <c r="I26" s="48"/>
      <c r="J26" s="48"/>
      <c r="K26" s="48"/>
      <c r="O26" s="117"/>
      <c r="P26" s="17"/>
    </row>
    <row r="27" spans="2:20" ht="14.45" x14ac:dyDescent="0.3">
      <c r="O27" s="16"/>
      <c r="P27" s="17"/>
    </row>
    <row r="28" spans="2:20" ht="14.45" x14ac:dyDescent="0.3">
      <c r="O28" s="16"/>
      <c r="P28" s="17"/>
    </row>
    <row r="29" spans="2:20" ht="14.45" x14ac:dyDescent="0.3">
      <c r="G29" s="3"/>
      <c r="H29" s="3"/>
      <c r="O29" s="16"/>
      <c r="P29" s="17"/>
    </row>
    <row r="30" spans="2:20" ht="14.45" x14ac:dyDescent="0.3">
      <c r="G30" s="2"/>
      <c r="H30" s="3"/>
      <c r="O30" s="16"/>
      <c r="P30" s="17"/>
      <c r="Q30" s="1"/>
      <c r="R30" s="2"/>
      <c r="S30" s="3"/>
      <c r="T30" s="3"/>
    </row>
    <row r="31" spans="2:20" ht="14.45" x14ac:dyDescent="0.3">
      <c r="O31" s="16"/>
    </row>
    <row r="32" spans="2:20" ht="14.45" x14ac:dyDescent="0.3">
      <c r="O32" s="16"/>
    </row>
    <row r="37" spans="1:5" ht="14.45" x14ac:dyDescent="0.3">
      <c r="A37" s="1"/>
      <c r="B37" s="2"/>
      <c r="C37" s="2"/>
      <c r="D37" s="2"/>
      <c r="E37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36"/>
  <sheetViews>
    <sheetView zoomScale="75" zoomScaleNormal="75" workbookViewId="0">
      <selection activeCell="E7" sqref="E7"/>
    </sheetView>
  </sheetViews>
  <sheetFormatPr baseColWidth="10"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0.7109375" style="3" customWidth="1"/>
    <col min="10" max="11" width="11.42578125" style="3"/>
    <col min="12" max="12" width="13.28515625" style="3" customWidth="1"/>
    <col min="13" max="13" width="15" style="3" customWidth="1"/>
    <col min="14" max="15" width="11.42578125" style="3"/>
    <col min="16" max="16" width="12.28515625" style="3" customWidth="1"/>
    <col min="17" max="17" width="14.5703125" style="3" customWidth="1"/>
    <col min="18" max="16384" width="11.42578125" style="3"/>
  </cols>
  <sheetData>
    <row r="2" spans="3:15" x14ac:dyDescent="0.25">
      <c r="C2" s="4"/>
      <c r="D2" s="127" t="s">
        <v>92</v>
      </c>
      <c r="E2" s="123">
        <v>2020</v>
      </c>
    </row>
    <row r="3" spans="3:15" ht="14.45" x14ac:dyDescent="0.3">
      <c r="C3" s="5"/>
      <c r="D3" s="119" t="s">
        <v>19</v>
      </c>
      <c r="E3" s="103">
        <v>65.833333333333329</v>
      </c>
    </row>
    <row r="4" spans="3:15" ht="14.45" x14ac:dyDescent="0.3">
      <c r="C4" s="5"/>
      <c r="D4" s="120" t="s">
        <v>5</v>
      </c>
      <c r="E4" s="124">
        <v>0.5</v>
      </c>
    </row>
    <row r="5" spans="3:15" ht="14.45" x14ac:dyDescent="0.3">
      <c r="C5" s="5"/>
      <c r="D5" s="119" t="s">
        <v>11</v>
      </c>
      <c r="E5" s="103">
        <v>0.3</v>
      </c>
      <c r="O5" s="3">
        <f>IF(SUM(O4-'bases de donnée'!E$6)&lt;0,0,SUM(O4-'bases de donnée'!E$6))</f>
        <v>0</v>
      </c>
    </row>
    <row r="6" spans="3:15" ht="14.45" x14ac:dyDescent="0.3">
      <c r="C6" s="5"/>
      <c r="D6" s="121" t="s">
        <v>63</v>
      </c>
      <c r="E6" s="125">
        <v>6</v>
      </c>
    </row>
    <row r="7" spans="3:15" x14ac:dyDescent="0.25">
      <c r="C7" s="5"/>
      <c r="D7" s="119" t="s">
        <v>6</v>
      </c>
      <c r="E7" s="124">
        <v>0.41666666666666669</v>
      </c>
    </row>
    <row r="8" spans="3:15" ht="14.45" x14ac:dyDescent="0.3">
      <c r="C8" s="5"/>
      <c r="D8" s="119" t="s">
        <v>8</v>
      </c>
      <c r="E8" s="124">
        <v>0.45833333333333331</v>
      </c>
    </row>
    <row r="9" spans="3:15" x14ac:dyDescent="0.25">
      <c r="C9" s="5"/>
      <c r="D9" s="119" t="s">
        <v>10</v>
      </c>
      <c r="E9" s="103">
        <v>1.5416666666666665</v>
      </c>
    </row>
    <row r="10" spans="3:15" x14ac:dyDescent="0.25">
      <c r="C10" s="5"/>
      <c r="D10" s="119" t="s">
        <v>2</v>
      </c>
      <c r="E10" s="103">
        <v>2</v>
      </c>
    </row>
    <row r="11" spans="3:15" ht="14.45" x14ac:dyDescent="0.3">
      <c r="C11" s="5"/>
      <c r="D11" s="119" t="s">
        <v>3</v>
      </c>
      <c r="E11" s="103">
        <v>1.4583333333333333</v>
      </c>
    </row>
    <row r="12" spans="3:15" ht="14.45" x14ac:dyDescent="0.3">
      <c r="C12" s="5"/>
      <c r="D12" s="119" t="s">
        <v>4</v>
      </c>
      <c r="E12" s="103">
        <v>1.0416666666666667</v>
      </c>
    </row>
    <row r="13" spans="3:15" x14ac:dyDescent="0.25">
      <c r="C13" s="5"/>
      <c r="D13" s="119" t="s">
        <v>12</v>
      </c>
      <c r="E13" s="103">
        <v>10.125</v>
      </c>
    </row>
    <row r="14" spans="3:15" x14ac:dyDescent="0.25">
      <c r="C14" s="5"/>
      <c r="D14" s="122" t="s">
        <v>13</v>
      </c>
      <c r="E14" s="103">
        <v>5.2083333333333336E-2</v>
      </c>
    </row>
    <row r="15" spans="3:15" x14ac:dyDescent="0.25">
      <c r="C15" s="5"/>
      <c r="D15" s="119" t="s">
        <v>14</v>
      </c>
      <c r="E15" s="103">
        <v>6.25E-2</v>
      </c>
    </row>
    <row r="16" spans="3:15" x14ac:dyDescent="0.25">
      <c r="C16" s="5"/>
      <c r="D16" s="119" t="s">
        <v>16</v>
      </c>
      <c r="E16" s="123">
        <v>21</v>
      </c>
    </row>
    <row r="17" spans="3:20" ht="14.45" x14ac:dyDescent="0.3">
      <c r="C17" s="5"/>
      <c r="D17" s="119" t="s">
        <v>7</v>
      </c>
      <c r="E17" s="103">
        <v>0.10416666666666667</v>
      </c>
    </row>
    <row r="18" spans="3:20" ht="14.45" x14ac:dyDescent="0.3">
      <c r="C18" s="5"/>
      <c r="D18" s="119" t="s">
        <v>9</v>
      </c>
      <c r="E18" s="103">
        <v>8.3333333333333329E-2</v>
      </c>
    </row>
    <row r="19" spans="3:20" x14ac:dyDescent="0.25">
      <c r="C19" s="5"/>
      <c r="D19" s="119" t="s">
        <v>15</v>
      </c>
      <c r="E19" s="103">
        <v>8.3333333333333329E-2</v>
      </c>
    </row>
    <row r="20" spans="3:20" ht="14.45" x14ac:dyDescent="0.3">
      <c r="C20" s="6"/>
      <c r="D20" s="121" t="s">
        <v>20</v>
      </c>
      <c r="E20" s="126">
        <v>0</v>
      </c>
    </row>
    <row r="21" spans="3:20" ht="14.45" x14ac:dyDescent="0.3">
      <c r="C21" s="5"/>
      <c r="D21" s="121" t="s">
        <v>21</v>
      </c>
      <c r="E21" s="126">
        <v>0</v>
      </c>
    </row>
    <row r="22" spans="3:20" x14ac:dyDescent="0.25">
      <c r="C22" s="5"/>
      <c r="D22" s="121" t="s">
        <v>22</v>
      </c>
      <c r="E22" s="126">
        <f>E5</f>
        <v>0.3</v>
      </c>
    </row>
    <row r="23" spans="3:20" x14ac:dyDescent="0.25">
      <c r="C23" s="5"/>
      <c r="D23" s="121" t="s">
        <v>23</v>
      </c>
      <c r="E23" s="126">
        <f>E5</f>
        <v>0.3</v>
      </c>
    </row>
    <row r="24" spans="3:20" x14ac:dyDescent="0.25">
      <c r="C24" s="5"/>
      <c r="D24" s="121" t="s">
        <v>24</v>
      </c>
      <c r="E24" s="126">
        <v>0.16388888888888889</v>
      </c>
    </row>
    <row r="25" spans="3:20" x14ac:dyDescent="0.25">
      <c r="C25" s="5"/>
      <c r="D25" s="121" t="s">
        <v>25</v>
      </c>
      <c r="E25" s="126">
        <v>0.22500000000000001</v>
      </c>
    </row>
    <row r="26" spans="3:20" x14ac:dyDescent="0.25">
      <c r="C26" s="5"/>
      <c r="D26" s="121" t="s">
        <v>26</v>
      </c>
      <c r="E26" s="126">
        <f>E5</f>
        <v>0.3</v>
      </c>
    </row>
    <row r="27" spans="3:20" x14ac:dyDescent="0.25">
      <c r="C27" s="5"/>
      <c r="D27" s="121" t="s">
        <v>27</v>
      </c>
      <c r="E27" s="126">
        <f>E5</f>
        <v>0.3</v>
      </c>
    </row>
    <row r="28" spans="3:20" x14ac:dyDescent="0.25">
      <c r="C28" s="5"/>
      <c r="D28" s="121" t="s">
        <v>28</v>
      </c>
      <c r="E28" s="126">
        <f>E5</f>
        <v>0.3</v>
      </c>
    </row>
    <row r="29" spans="3:20" x14ac:dyDescent="0.25">
      <c r="C29" s="5"/>
      <c r="D29" s="121" t="s">
        <v>29</v>
      </c>
      <c r="E29" s="126">
        <v>0</v>
      </c>
    </row>
    <row r="30" spans="3:20" x14ac:dyDescent="0.25">
      <c r="C30" s="5"/>
      <c r="D30" s="121" t="s">
        <v>77</v>
      </c>
      <c r="E30" s="103">
        <f>E5</f>
        <v>0.3</v>
      </c>
      <c r="I30" s="2"/>
      <c r="J30" s="2"/>
      <c r="Q30" s="19"/>
      <c r="R30" s="17"/>
      <c r="S30" s="1"/>
      <c r="T30" s="2"/>
    </row>
    <row r="31" spans="3:20" x14ac:dyDescent="0.25">
      <c r="C31" s="5"/>
      <c r="D31" s="121" t="s">
        <v>78</v>
      </c>
      <c r="E31" s="103">
        <v>0</v>
      </c>
      <c r="I31" s="2"/>
      <c r="J31" s="2"/>
      <c r="K31" s="2"/>
      <c r="L31" s="2"/>
      <c r="M31" s="2"/>
      <c r="N31" s="2"/>
      <c r="O31" s="2"/>
      <c r="Q31" s="19"/>
      <c r="R31" s="17"/>
      <c r="S31" s="1"/>
      <c r="T31" s="2"/>
    </row>
    <row r="32" spans="3:20" x14ac:dyDescent="0.25">
      <c r="C32" s="7"/>
      <c r="D32" s="128" t="s">
        <v>76</v>
      </c>
      <c r="E32" s="103">
        <f>E5</f>
        <v>0.3</v>
      </c>
      <c r="I32" s="2"/>
      <c r="J32" s="2"/>
      <c r="K32" s="2"/>
      <c r="L32" s="2"/>
      <c r="M32" s="2"/>
      <c r="N32" s="2"/>
      <c r="O32" s="2"/>
      <c r="Q32" s="19"/>
      <c r="R32" s="17"/>
      <c r="S32" s="1"/>
      <c r="T32" s="2"/>
    </row>
    <row r="33" spans="9:22" ht="14.45" x14ac:dyDescent="0.3">
      <c r="I33" s="8"/>
      <c r="J33" s="2"/>
      <c r="K33" s="2"/>
      <c r="L33" s="2"/>
      <c r="M33" s="2"/>
      <c r="N33" s="2"/>
      <c r="O33" s="2"/>
      <c r="Q33" s="19"/>
      <c r="R33" s="17"/>
      <c r="S33" s="1"/>
      <c r="T33" s="2"/>
    </row>
    <row r="34" spans="9:22" ht="14.45" x14ac:dyDescent="0.3">
      <c r="I34" s="8"/>
      <c r="J34" s="8"/>
      <c r="K34" s="8"/>
      <c r="L34" s="2"/>
      <c r="M34" s="2"/>
      <c r="N34" s="2"/>
      <c r="O34" s="2"/>
      <c r="Q34" s="19"/>
      <c r="R34" s="17"/>
      <c r="S34" s="1"/>
      <c r="T34" s="2"/>
      <c r="U34" s="2"/>
      <c r="V34" s="2"/>
    </row>
    <row r="35" spans="9:22" ht="14.45" x14ac:dyDescent="0.3">
      <c r="I35" s="2"/>
      <c r="J35" s="2"/>
      <c r="K35" s="2"/>
      <c r="L35" s="2"/>
      <c r="M35" s="2"/>
      <c r="N35" s="2"/>
      <c r="O35" s="2"/>
      <c r="Q35" s="19"/>
      <c r="R35" s="17"/>
      <c r="S35" s="1"/>
      <c r="T35" s="2"/>
      <c r="U35" s="2"/>
      <c r="V35" s="2"/>
    </row>
    <row r="36" spans="9:22" ht="14.45" x14ac:dyDescent="0.3">
      <c r="Q36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 </vt:lpstr>
      <vt:lpstr>résultat </vt:lpstr>
      <vt:lpstr>bases de donnée</vt:lpstr>
      <vt:lpstr>gérald</vt:lpstr>
      <vt:lpstr>gérald1</vt:lpstr>
      <vt:lpstr>gerald2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mauritius</cp:lastModifiedBy>
  <dcterms:created xsi:type="dcterms:W3CDTF">2016-10-24T13:04:51Z</dcterms:created>
  <dcterms:modified xsi:type="dcterms:W3CDTF">2020-01-28T11:00:04Z</dcterms:modified>
</cp:coreProperties>
</file>