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OMONETIC\Desktop\"/>
    </mc:Choice>
  </mc:AlternateContent>
  <bookViews>
    <workbookView xWindow="0" yWindow="0" windowWidth="28800" windowHeight="11610"/>
  </bookViews>
  <sheets>
    <sheet name="Feuil1" sheetId="1" r:id="rId1"/>
  </sheets>
  <externalReferences>
    <externalReference r:id="rId2"/>
    <externalReference r:id="rId3"/>
  </externalReferences>
  <definedNames>
    <definedName name="MS_p">Feuil1!$A$9</definedName>
    <definedName name="Prime_Coupure">Feuil1!$A$6</definedName>
    <definedName name="SMIC">Feuil1!$A$5</definedName>
    <definedName name="TVA">Feuil1!$A$8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5" i="1" l="1"/>
  <c r="R35" i="1" s="1"/>
  <c r="S35" i="1" s="1"/>
  <c r="R34" i="1"/>
  <c r="S34" i="1" s="1"/>
  <c r="Q34" i="1"/>
  <c r="Q33" i="1"/>
  <c r="R33" i="1" s="1"/>
  <c r="S33" i="1" s="1"/>
  <c r="Q32" i="1"/>
  <c r="R32" i="1" s="1"/>
  <c r="S32" i="1" s="1"/>
  <c r="Q31" i="1"/>
  <c r="R31" i="1" s="1"/>
  <c r="S31" i="1" s="1"/>
  <c r="N29" i="1"/>
  <c r="Q29" i="1" s="1"/>
  <c r="R29" i="1" s="1"/>
  <c r="N28" i="1"/>
  <c r="Q28" i="1" s="1"/>
  <c r="R28" i="1" s="1"/>
  <c r="N25" i="1"/>
  <c r="Q25" i="1" s="1"/>
  <c r="R25" i="1" s="1"/>
  <c r="N24" i="1"/>
  <c r="Q24" i="1" s="1"/>
  <c r="R24" i="1" s="1"/>
  <c r="N21" i="1"/>
  <c r="Q21" i="1" s="1"/>
  <c r="R21" i="1" s="1"/>
  <c r="N20" i="1"/>
  <c r="Q20" i="1" s="1"/>
  <c r="R20" i="1" s="1"/>
  <c r="N17" i="1"/>
  <c r="Q17" i="1" s="1"/>
  <c r="R17" i="1" s="1"/>
  <c r="N16" i="1"/>
  <c r="Q16" i="1" s="1"/>
  <c r="R16" i="1" s="1"/>
  <c r="T15" i="1"/>
  <c r="J15" i="1"/>
  <c r="K15" i="1" s="1"/>
  <c r="F15" i="1"/>
  <c r="T14" i="1"/>
  <c r="N14" i="1"/>
  <c r="Q14" i="1" s="1"/>
  <c r="R14" i="1" s="1"/>
  <c r="J14" i="1"/>
  <c r="F14" i="1"/>
  <c r="K14" i="1" s="1"/>
  <c r="T13" i="1"/>
  <c r="J13" i="1"/>
  <c r="K13" i="1" s="1"/>
  <c r="F13" i="1"/>
  <c r="O13" i="1" s="1"/>
  <c r="T12" i="1"/>
  <c r="N12" i="1"/>
  <c r="Q12" i="1" s="1"/>
  <c r="R12" i="1" s="1"/>
  <c r="J12" i="1"/>
  <c r="F12" i="1"/>
  <c r="K12" i="1" s="1"/>
  <c r="T11" i="1"/>
  <c r="Q11" i="1"/>
  <c r="R11" i="1" s="1"/>
  <c r="N11" i="1"/>
  <c r="J11" i="1"/>
  <c r="K11" i="1" s="1"/>
  <c r="F11" i="1"/>
  <c r="T10" i="1"/>
  <c r="N10" i="1"/>
  <c r="Q10" i="1" s="1"/>
  <c r="R10" i="1" s="1"/>
  <c r="J10" i="1"/>
  <c r="F10" i="1"/>
  <c r="K10" i="1" s="1"/>
  <c r="O10" i="1" s="1"/>
  <c r="P10" i="1" s="1"/>
  <c r="T9" i="1"/>
  <c r="Q9" i="1"/>
  <c r="R9" i="1" s="1"/>
  <c r="N9" i="1"/>
  <c r="F9" i="1"/>
  <c r="T8" i="1"/>
  <c r="N8" i="1"/>
  <c r="Q8" i="1" s="1"/>
  <c r="R8" i="1" s="1"/>
  <c r="A8" i="1"/>
  <c r="N30" i="1" s="1"/>
  <c r="Q30" i="1" s="1"/>
  <c r="R30" i="1" s="1"/>
  <c r="T7" i="1"/>
  <c r="Q7" i="1"/>
  <c r="R7" i="1" s="1"/>
  <c r="N7" i="1"/>
  <c r="T6" i="1"/>
  <c r="Q6" i="1"/>
  <c r="R6" i="1" s="1"/>
  <c r="N6" i="1"/>
  <c r="S10" i="1" l="1"/>
  <c r="O11" i="1"/>
  <c r="P11" i="1" s="1"/>
  <c r="O15" i="1"/>
  <c r="K9" i="1"/>
  <c r="O9" i="1" s="1"/>
  <c r="P9" i="1" s="1"/>
  <c r="N13" i="1"/>
  <c r="Q13" i="1" s="1"/>
  <c r="R13" i="1" s="1"/>
  <c r="N15" i="1"/>
  <c r="Q15" i="1" s="1"/>
  <c r="R15" i="1" s="1"/>
  <c r="N19" i="1"/>
  <c r="Q19" i="1" s="1"/>
  <c r="R19" i="1" s="1"/>
  <c r="N23" i="1"/>
  <c r="Q23" i="1" s="1"/>
  <c r="R23" i="1" s="1"/>
  <c r="N27" i="1"/>
  <c r="Q27" i="1" s="1"/>
  <c r="R27" i="1" s="1"/>
  <c r="O12" i="1"/>
  <c r="P12" i="1" s="1"/>
  <c r="S12" i="1" s="1"/>
  <c r="O14" i="1"/>
  <c r="P14" i="1" s="1"/>
  <c r="S14" i="1" s="1"/>
  <c r="N18" i="1"/>
  <c r="Q18" i="1" s="1"/>
  <c r="R18" i="1" s="1"/>
  <c r="N22" i="1"/>
  <c r="Q22" i="1" s="1"/>
  <c r="R22" i="1" s="1"/>
  <c r="N26" i="1"/>
  <c r="Q26" i="1" s="1"/>
  <c r="R26" i="1" s="1"/>
  <c r="S9" i="1" l="1"/>
  <c r="S11" i="1"/>
  <c r="T5" i="1"/>
  <c r="N36" i="1"/>
  <c r="Q36" i="1" s="1"/>
  <c r="P15" i="1"/>
  <c r="S15" i="1" s="1"/>
  <c r="P13" i="1"/>
  <c r="S13" i="1" s="1"/>
  <c r="P36" i="1" l="1"/>
</calcChain>
</file>

<file path=xl/sharedStrings.xml><?xml version="1.0" encoding="utf-8"?>
<sst xmlns="http://schemas.openxmlformats.org/spreadsheetml/2006/main" count="18" uniqueCount="16">
  <si>
    <t>Date</t>
  </si>
  <si>
    <t xml:space="preserve">Effectif </t>
  </si>
  <si>
    <t>Heure effective</t>
  </si>
  <si>
    <t>Salaire de base</t>
  </si>
  <si>
    <t>Prime coupure</t>
  </si>
  <si>
    <t>AeN</t>
  </si>
  <si>
    <r>
      <t xml:space="preserve">Côtisations patronales 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25%</t>
    </r>
  </si>
  <si>
    <t>Responsable théorique</t>
  </si>
  <si>
    <t>CA TTC</t>
  </si>
  <si>
    <t>CA HT</t>
  </si>
  <si>
    <t>MS/J Réel</t>
  </si>
  <si>
    <t>MS/CA % Réel</t>
  </si>
  <si>
    <t xml:space="preserve">MS/J préetabli </t>
  </si>
  <si>
    <t>MS/ca théorique</t>
  </si>
  <si>
    <t>Différence</t>
  </si>
  <si>
    <t>MOYENNE MASSE SALARIALE / CA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</si>
</sst>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dd\ d\ mmm\ yy"/>
    <numFmt numFmtId="165" formatCode="#,##0\ &quot;€&quot;"/>
    <numFmt numFmtId="166" formatCode="[hh]&quot;h&quot;mm"/>
    <numFmt numFmtId="167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MS Reference Sans Serif"/>
      <family val="2"/>
    </font>
    <font>
      <sz val="11"/>
      <color theme="1"/>
      <name val="Calibri"/>
      <family val="2"/>
    </font>
    <font>
      <b/>
      <sz val="11"/>
      <color rgb="FFFF0000"/>
      <name val="Arial Rounded MT Bold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 Rounded MT Bold"/>
      <family val="2"/>
    </font>
  </fonts>
  <fills count="7">
    <fill>
      <patternFill patternType="none"/>
    </fill>
    <fill>
      <patternFill patternType="gray125"/>
    </fill>
    <fill>
      <patternFill patternType="solid">
        <fgColor rgb="FFFCC73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Dashed">
        <color rgb="FFFF0000"/>
      </left>
      <right style="mediumDashed">
        <color rgb="FFFF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Dashed">
        <color rgb="FFFF0000"/>
      </left>
      <right style="mediumDashed">
        <color rgb="FFFF0000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Dashed">
        <color rgb="FFFF0000"/>
      </left>
      <right style="mediumDashed">
        <color rgb="FFFF0000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Dashed">
        <color rgb="FFFF0000"/>
      </left>
      <right style="mediumDashed">
        <color rgb="FFFF0000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0" fontId="4" fillId="2" borderId="0" xfId="0" applyNumberFormat="1" applyFont="1" applyFill="1" applyAlignment="1">
      <alignment horizontal="center" vertical="center"/>
    </xf>
    <xf numFmtId="164" fontId="0" fillId="3" borderId="7" xfId="0" applyNumberFormat="1" applyFill="1" applyBorder="1"/>
    <xf numFmtId="0" fontId="0" fillId="0" borderId="8" xfId="0" applyBorder="1"/>
    <xf numFmtId="0" fontId="5" fillId="0" borderId="8" xfId="0" applyFont="1" applyBorder="1"/>
    <xf numFmtId="0" fontId="0" fillId="0" borderId="9" xfId="0" applyBorder="1" applyAlignment="1">
      <alignment horizontal="right"/>
    </xf>
    <xf numFmtId="165" fontId="0" fillId="0" borderId="8" xfId="0" applyNumberFormat="1" applyBorder="1"/>
    <xf numFmtId="0" fontId="0" fillId="0" borderId="10" xfId="0" applyBorder="1"/>
    <xf numFmtId="165" fontId="0" fillId="0" borderId="10" xfId="0" applyNumberFormat="1" applyBorder="1"/>
    <xf numFmtId="10" fontId="0" fillId="0" borderId="0" xfId="0" applyNumberFormat="1"/>
    <xf numFmtId="10" fontId="0" fillId="0" borderId="11" xfId="0" applyNumberFormat="1" applyBorder="1"/>
    <xf numFmtId="164" fontId="0" fillId="4" borderId="12" xfId="0" applyNumberFormat="1" applyFill="1" applyBorder="1"/>
    <xf numFmtId="0" fontId="0" fillId="0" borderId="13" xfId="0" applyBorder="1"/>
    <xf numFmtId="0" fontId="5" fillId="0" borderId="13" xfId="0" applyFont="1" applyBorder="1"/>
    <xf numFmtId="0" fontId="0" fillId="0" borderId="14" xfId="0" applyBorder="1" applyAlignment="1">
      <alignment horizontal="right"/>
    </xf>
    <xf numFmtId="165" fontId="0" fillId="0" borderId="13" xfId="0" applyNumberFormat="1" applyBorder="1"/>
    <xf numFmtId="0" fontId="0" fillId="0" borderId="15" xfId="0" applyBorder="1"/>
    <xf numFmtId="165" fontId="0" fillId="0" borderId="15" xfId="0" applyNumberFormat="1" applyBorder="1"/>
    <xf numFmtId="0" fontId="0" fillId="0" borderId="0" xfId="0" applyFill="1" applyBorder="1"/>
    <xf numFmtId="164" fontId="0" fillId="3" borderId="12" xfId="0" applyNumberFormat="1" applyFill="1" applyBorder="1"/>
    <xf numFmtId="166" fontId="0" fillId="0" borderId="13" xfId="0" applyNumberFormat="1" applyBorder="1"/>
    <xf numFmtId="167" fontId="0" fillId="0" borderId="13" xfId="0" applyNumberFormat="1" applyBorder="1"/>
    <xf numFmtId="0" fontId="0" fillId="0" borderId="13" xfId="0" applyBorder="1" applyAlignment="1">
      <alignment horizontal="center" vertical="center"/>
    </xf>
    <xf numFmtId="167" fontId="0" fillId="0" borderId="14" xfId="0" applyNumberFormat="1" applyBorder="1" applyAlignment="1">
      <alignment horizontal="right"/>
    </xf>
    <xf numFmtId="10" fontId="0" fillId="0" borderId="15" xfId="0" applyNumberFormat="1" applyBorder="1"/>
    <xf numFmtId="164" fontId="0" fillId="4" borderId="16" xfId="0" applyNumberFormat="1" applyFill="1" applyBorder="1"/>
    <xf numFmtId="0" fontId="0" fillId="0" borderId="17" xfId="0" applyBorder="1"/>
    <xf numFmtId="0" fontId="5" fillId="0" borderId="17" xfId="0" applyFont="1" applyBorder="1"/>
    <xf numFmtId="0" fontId="0" fillId="0" borderId="18" xfId="0" applyBorder="1" applyAlignment="1">
      <alignment horizontal="right"/>
    </xf>
    <xf numFmtId="167" fontId="0" fillId="0" borderId="17" xfId="0" applyNumberFormat="1" applyBorder="1"/>
    <xf numFmtId="0" fontId="0" fillId="0" borderId="19" xfId="0" applyBorder="1"/>
    <xf numFmtId="165" fontId="0" fillId="0" borderId="19" xfId="0" applyNumberFormat="1" applyBorder="1"/>
    <xf numFmtId="0" fontId="1" fillId="5" borderId="6" xfId="0" applyFont="1" applyFill="1" applyBorder="1" applyAlignment="1">
      <alignment horizontal="left" vertical="center"/>
    </xf>
    <xf numFmtId="0" fontId="0" fillId="5" borderId="4" xfId="0" applyFill="1" applyBorder="1"/>
    <xf numFmtId="0" fontId="0" fillId="5" borderId="2" xfId="0" applyFill="1" applyBorder="1"/>
    <xf numFmtId="0" fontId="0" fillId="5" borderId="6" xfId="0" applyFill="1" applyBorder="1"/>
    <xf numFmtId="165" fontId="6" fillId="5" borderId="2" xfId="0" applyNumberFormat="1" applyFont="1" applyFill="1" applyBorder="1" applyAlignment="1">
      <alignment horizontal="center" vertical="center"/>
    </xf>
    <xf numFmtId="10" fontId="6" fillId="6" borderId="5" xfId="0" applyNumberFormat="1" applyFont="1" applyFill="1" applyBorder="1" applyAlignment="1">
      <alignment horizontal="center" vertical="center"/>
    </xf>
    <xf numFmtId="10" fontId="6" fillId="5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Chiffre d'affaire HT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'[1]Masse salariale'!$B$9:$B$15</c:f>
              <c:numCache>
                <c:formatCode>[$-40C]ddd\ d\ mmm\ yy</c:formatCode>
                <c:ptCount val="7"/>
                <c:pt idx="0">
                  <c:v>42982</c:v>
                </c:pt>
                <c:pt idx="1">
                  <c:v>42983</c:v>
                </c:pt>
                <c:pt idx="2">
                  <c:v>42984</c:v>
                </c:pt>
                <c:pt idx="3">
                  <c:v>42985</c:v>
                </c:pt>
                <c:pt idx="4">
                  <c:v>42986</c:v>
                </c:pt>
                <c:pt idx="5">
                  <c:v>42987</c:v>
                </c:pt>
                <c:pt idx="6">
                  <c:v>42988</c:v>
                </c:pt>
              </c:numCache>
            </c:numRef>
          </c:cat>
          <c:val>
            <c:numRef>
              <c:f>'[1]Masse salariale'!$N$9:$N$15</c:f>
              <c:numCache>
                <c:formatCode>#\ ##0\ "€"</c:formatCode>
                <c:ptCount val="7"/>
                <c:pt idx="0">
                  <c:v>1192.1545454545453</c:v>
                </c:pt>
                <c:pt idx="1">
                  <c:v>1220.4545454545453</c:v>
                </c:pt>
                <c:pt idx="2">
                  <c:v>1537.8727272727272</c:v>
                </c:pt>
                <c:pt idx="3">
                  <c:v>948.1</c:v>
                </c:pt>
                <c:pt idx="4">
                  <c:v>2359.2545454545452</c:v>
                </c:pt>
                <c:pt idx="5">
                  <c:v>3195.3909090909087</c:v>
                </c:pt>
                <c:pt idx="6">
                  <c:v>2292.5818181818181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3E-4479-A8D6-9AF8AF29F726}"/>
            </c:ext>
          </c:extLst>
        </c:ser>
        <c:ser>
          <c:idx val="1"/>
          <c:order val="1"/>
          <c:tx>
            <c:v>Masse salariale réel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percentage"/>
            <c:noEndCap val="0"/>
            <c:val val="5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'[1]Masse salariale'!$B$9:$B$15</c:f>
              <c:numCache>
                <c:formatCode>[$-40C]ddd\ d\ mmm\ yy</c:formatCode>
                <c:ptCount val="7"/>
                <c:pt idx="0">
                  <c:v>42982</c:v>
                </c:pt>
                <c:pt idx="1">
                  <c:v>42983</c:v>
                </c:pt>
                <c:pt idx="2">
                  <c:v>42984</c:v>
                </c:pt>
                <c:pt idx="3">
                  <c:v>42985</c:v>
                </c:pt>
                <c:pt idx="4">
                  <c:v>42986</c:v>
                </c:pt>
                <c:pt idx="5">
                  <c:v>42987</c:v>
                </c:pt>
                <c:pt idx="6">
                  <c:v>42988</c:v>
                </c:pt>
              </c:numCache>
            </c:numRef>
          </c:cat>
          <c:val>
            <c:numRef>
              <c:f>'[1]Masse salariale'!$O$9:$O$15</c:f>
              <c:numCache>
                <c:formatCode>#\ ##0.00\ "€"</c:formatCode>
                <c:ptCount val="7"/>
                <c:pt idx="0">
                  <c:v>433.80833333333328</c:v>
                </c:pt>
                <c:pt idx="1">
                  <c:v>401.27499999999998</c:v>
                </c:pt>
                <c:pt idx="2">
                  <c:v>509.04166666666674</c:v>
                </c:pt>
                <c:pt idx="3">
                  <c:v>476.50833333333344</c:v>
                </c:pt>
                <c:pt idx="4">
                  <c:v>590.375</c:v>
                </c:pt>
                <c:pt idx="5">
                  <c:v>653.4083333333333</c:v>
                </c:pt>
                <c:pt idx="6">
                  <c:v>629.00833333333321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3E-4479-A8D6-9AF8AF29F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6596720"/>
        <c:axId val="586603608"/>
      </c:lineChart>
      <c:dateAx>
        <c:axId val="586596720"/>
        <c:scaling>
          <c:orientation val="minMax"/>
        </c:scaling>
        <c:delete val="0"/>
        <c:axPos val="b"/>
        <c:numFmt formatCode="[$-40C]ddd\ d\ mmm\ 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603608"/>
        <c:crossesAt val="0"/>
        <c:auto val="1"/>
        <c:lblOffset val="100"/>
        <c:baseTimeUnit val="days"/>
      </c:dateAx>
      <c:valAx>
        <c:axId val="586603608"/>
        <c:scaling>
          <c:orientation val="minMax"/>
        </c:scaling>
        <c:delete val="0"/>
        <c:axPos val="l"/>
        <c:majorGridlines>
          <c:spPr>
            <a:ln w="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596720"/>
        <c:crosses val="autoZero"/>
        <c:crossBetween val="between"/>
        <c:majorUnit val="1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22" fmlaLink="$U$5" max="31" page="10" val="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4596</xdr:colOff>
      <xdr:row>37</xdr:row>
      <xdr:rowOff>28028</xdr:rowOff>
    </xdr:from>
    <xdr:to>
      <xdr:col>14</xdr:col>
      <xdr:colOff>828674</xdr:colOff>
      <xdr:row>51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121CBA-9B07-4318-B64A-0FDC829C6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</xdr:row>
          <xdr:rowOff>57150</xdr:rowOff>
        </xdr:from>
        <xdr:to>
          <xdr:col>21</xdr:col>
          <xdr:colOff>628650</xdr:colOff>
          <xdr:row>4</xdr:row>
          <xdr:rowOff>533400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5F96E0E-D0EF-42C3-9016-6602A3A80C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rive%20w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 Mensuel"/>
      <sheetName val="Base Financière"/>
      <sheetName val="Masse salariale"/>
      <sheetName val="Calcul masse salariale intégré"/>
      <sheetName val="CA"/>
      <sheetName val="Feuil5"/>
      <sheetName val="Base CA"/>
      <sheetName val="Feuil3"/>
      <sheetName val="Caisse avant intégration VBA"/>
    </sheetNames>
    <sheetDataSet>
      <sheetData sheetId="0"/>
      <sheetData sheetId="1"/>
      <sheetData sheetId="2">
        <row r="9">
          <cell r="B9">
            <v>42982</v>
          </cell>
          <cell r="N9">
            <v>1192.1545454545453</v>
          </cell>
          <cell r="O9">
            <v>433.80833333333328</v>
          </cell>
        </row>
        <row r="10">
          <cell r="B10">
            <v>42983</v>
          </cell>
          <cell r="N10">
            <v>1220.4545454545453</v>
          </cell>
          <cell r="O10">
            <v>401.27499999999998</v>
          </cell>
        </row>
        <row r="11">
          <cell r="B11">
            <v>42984</v>
          </cell>
          <cell r="N11">
            <v>1537.8727272727272</v>
          </cell>
          <cell r="O11">
            <v>509.04166666666674</v>
          </cell>
        </row>
        <row r="12">
          <cell r="B12">
            <v>42985</v>
          </cell>
          <cell r="N12">
            <v>948.1</v>
          </cell>
          <cell r="O12">
            <v>476.50833333333344</v>
          </cell>
        </row>
        <row r="13">
          <cell r="B13">
            <v>42986</v>
          </cell>
          <cell r="N13">
            <v>2359.2545454545452</v>
          </cell>
          <cell r="O13">
            <v>590.375</v>
          </cell>
        </row>
        <row r="14">
          <cell r="B14">
            <v>42987</v>
          </cell>
          <cell r="N14">
            <v>3195.3909090909087</v>
          </cell>
          <cell r="O14">
            <v>653.4083333333333</v>
          </cell>
        </row>
        <row r="15">
          <cell r="B15">
            <v>42988</v>
          </cell>
          <cell r="N15">
            <v>2292.5818181818181</v>
          </cell>
          <cell r="O15">
            <v>629.00833333333321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ive wg bill"/>
    </sheetNames>
    <sheetDataSet>
      <sheetData sheetId="0">
        <row r="35">
          <cell r="D35">
            <v>5</v>
          </cell>
          <cell r="F35">
            <v>0</v>
          </cell>
          <cell r="H35">
            <v>0</v>
          </cell>
          <cell r="J35">
            <v>0</v>
          </cell>
          <cell r="L35">
            <v>0</v>
          </cell>
          <cell r="N35">
            <v>0</v>
          </cell>
          <cell r="P3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6"/>
  <sheetViews>
    <sheetView showGridLines="0" tabSelected="1" topLeftCell="A16" workbookViewId="0">
      <selection activeCell="K37" sqref="K37"/>
    </sheetView>
  </sheetViews>
  <sheetFormatPr baseColWidth="10" defaultRowHeight="15" x14ac:dyDescent="0.25"/>
  <cols>
    <col min="2" max="2" width="14.85546875" bestFit="1" customWidth="1"/>
    <col min="3" max="3" width="0.7109375" customWidth="1"/>
    <col min="4" max="5" width="9.28515625" customWidth="1"/>
    <col min="7" max="7" width="11.42578125" hidden="1" customWidth="1"/>
    <col min="8" max="8" width="0.7109375" hidden="1" customWidth="1"/>
    <col min="10" max="10" width="12.5703125" customWidth="1"/>
    <col min="11" max="11" width="14.28515625" customWidth="1"/>
    <col min="12" max="12" width="13.85546875" customWidth="1"/>
    <col min="13" max="13" width="14" bestFit="1" customWidth="1"/>
    <col min="15" max="15" width="12.42578125" customWidth="1"/>
    <col min="16" max="16" width="13.28515625" bestFit="1" customWidth="1"/>
    <col min="17" max="17" width="12.140625" customWidth="1"/>
    <col min="18" max="18" width="12.5703125" customWidth="1"/>
    <col min="19" max="19" width="11.28515625" customWidth="1"/>
    <col min="20" max="21" width="10.42578125" customWidth="1"/>
  </cols>
  <sheetData>
    <row r="1" spans="1:21" x14ac:dyDescent="0.25">
      <c r="B1" s="1"/>
    </row>
    <row r="2" spans="1:21" x14ac:dyDescent="0.25">
      <c r="B2" s="1"/>
    </row>
    <row r="3" spans="1:21" x14ac:dyDescent="0.25">
      <c r="B3" s="1"/>
    </row>
    <row r="4" spans="1:21" ht="15.75" thickBot="1" x14ac:dyDescent="0.3">
      <c r="B4" s="1"/>
    </row>
    <row r="5" spans="1:21" ht="51" customHeight="1" thickBot="1" x14ac:dyDescent="0.3">
      <c r="A5" s="2">
        <v>9.76</v>
      </c>
      <c r="B5" s="3" t="s">
        <v>0</v>
      </c>
      <c r="C5" s="4"/>
      <c r="D5" s="5" t="s">
        <v>1</v>
      </c>
      <c r="E5" s="6" t="s">
        <v>2</v>
      </c>
      <c r="F5" s="6" t="s">
        <v>3</v>
      </c>
      <c r="G5" s="5" t="s">
        <v>2</v>
      </c>
      <c r="H5" s="5" t="s">
        <v>4</v>
      </c>
      <c r="I5" s="5" t="s">
        <v>5</v>
      </c>
      <c r="J5" s="6" t="s">
        <v>4</v>
      </c>
      <c r="K5" s="6" t="s">
        <v>6</v>
      </c>
      <c r="L5" s="7" t="s">
        <v>7</v>
      </c>
      <c r="M5" s="8" t="s">
        <v>8</v>
      </c>
      <c r="N5" s="9" t="s">
        <v>9</v>
      </c>
      <c r="O5" s="5" t="s">
        <v>10</v>
      </c>
      <c r="P5" s="10" t="s">
        <v>11</v>
      </c>
      <c r="Q5" s="10" t="s">
        <v>12</v>
      </c>
      <c r="R5" s="11" t="s">
        <v>13</v>
      </c>
      <c r="S5" s="12" t="s">
        <v>14</v>
      </c>
      <c r="T5" s="13">
        <f ca="1">OFFSET(P5,U5,,)</f>
        <v>0.33100376750253208</v>
      </c>
      <c r="U5">
        <v>6</v>
      </c>
    </row>
    <row r="6" spans="1:21" ht="15.75" x14ac:dyDescent="0.25">
      <c r="A6" s="2">
        <v>3</v>
      </c>
      <c r="B6" s="14">
        <v>42979</v>
      </c>
      <c r="C6" s="15"/>
      <c r="D6" s="16"/>
      <c r="E6" s="15"/>
      <c r="F6" s="15"/>
      <c r="G6" s="15"/>
      <c r="H6" s="15"/>
      <c r="I6" s="15"/>
      <c r="J6" s="15"/>
      <c r="K6" s="15"/>
      <c r="L6" s="17"/>
      <c r="M6" s="18">
        <v>3078.88</v>
      </c>
      <c r="N6" s="18">
        <f>M6/TVA</f>
        <v>2798.9818181818182</v>
      </c>
      <c r="O6" s="15"/>
      <c r="P6" s="19"/>
      <c r="Q6" s="20">
        <f>N6*MS_p</f>
        <v>699.74545454545455</v>
      </c>
      <c r="R6" s="21">
        <f>IFERROR(Q6/N6,0)</f>
        <v>0.25</v>
      </c>
      <c r="S6" s="22"/>
      <c r="T6" s="21" t="e">
        <f>IF(ROW(B6)-47=$U$9,S6,NA())</f>
        <v>#N/A</v>
      </c>
    </row>
    <row r="7" spans="1:21" ht="15.75" x14ac:dyDescent="0.25">
      <c r="A7" s="2">
        <v>3.54</v>
      </c>
      <c r="B7" s="23">
        <v>42980</v>
      </c>
      <c r="C7" s="24"/>
      <c r="D7" s="25"/>
      <c r="E7" s="24"/>
      <c r="F7" s="24"/>
      <c r="G7" s="24"/>
      <c r="H7" s="24"/>
      <c r="I7" s="24"/>
      <c r="J7" s="24"/>
      <c r="K7" s="24"/>
      <c r="L7" s="26"/>
      <c r="M7" s="27">
        <v>3524.54</v>
      </c>
      <c r="N7" s="27">
        <f>M7/TVA</f>
        <v>3204.1272727272726</v>
      </c>
      <c r="O7" s="24"/>
      <c r="P7" s="28"/>
      <c r="Q7" s="29">
        <f>N7*MS_p</f>
        <v>801.03181818181815</v>
      </c>
      <c r="R7" s="21">
        <f t="shared" ref="R7:R35" si="0">IFERROR(Q7/N7,0)</f>
        <v>0.25</v>
      </c>
      <c r="S7" s="22"/>
      <c r="T7" s="21" t="e">
        <f>IF(ROW(B7)-47=$U$9,S7,NA())</f>
        <v>#N/A</v>
      </c>
    </row>
    <row r="8" spans="1:21" ht="15.75" x14ac:dyDescent="0.25">
      <c r="A8" s="2">
        <f>1.1</f>
        <v>1.1000000000000001</v>
      </c>
      <c r="B8" s="23">
        <v>42981</v>
      </c>
      <c r="C8" s="24"/>
      <c r="D8" s="25"/>
      <c r="E8" s="24"/>
      <c r="F8" s="24"/>
      <c r="G8" s="24"/>
      <c r="H8" s="24"/>
      <c r="I8" s="24"/>
      <c r="J8" s="24"/>
      <c r="K8" s="24"/>
      <c r="L8" s="26"/>
      <c r="M8" s="27">
        <v>2364.13</v>
      </c>
      <c r="N8" s="27">
        <f>M8/TVA</f>
        <v>2149.2090909090907</v>
      </c>
      <c r="O8" s="24"/>
      <c r="P8" s="28"/>
      <c r="Q8" s="29">
        <f>N8*MS_p</f>
        <v>537.30227272727268</v>
      </c>
      <c r="R8" s="21">
        <f t="shared" si="0"/>
        <v>0.25</v>
      </c>
      <c r="S8" s="22"/>
      <c r="T8" s="21" t="e">
        <f t="shared" ref="T8:T15" si="1">IF(ROW(B8)-47=$U$9,S8,NA())</f>
        <v>#N/A</v>
      </c>
    </row>
    <row r="9" spans="1:21" ht="15.75" x14ac:dyDescent="0.25">
      <c r="A9" s="30">
        <v>0.25</v>
      </c>
      <c r="B9" s="31">
        <v>42982</v>
      </c>
      <c r="C9" s="24"/>
      <c r="D9" s="25">
        <v>7</v>
      </c>
      <c r="E9" s="32">
        <v>1.1319444444444444</v>
      </c>
      <c r="F9" s="33">
        <f>(E9*24)*SMIC</f>
        <v>265.14666666666665</v>
      </c>
      <c r="G9" s="24"/>
      <c r="H9" s="24"/>
      <c r="I9" s="24"/>
      <c r="J9" s="34"/>
      <c r="K9" s="33">
        <f>(F9+J9)*0.25</f>
        <v>66.286666666666662</v>
      </c>
      <c r="L9" s="35">
        <v>102.375</v>
      </c>
      <c r="M9" s="27">
        <v>1311.37</v>
      </c>
      <c r="N9" s="27">
        <f>M9/TVA</f>
        <v>1192.1545454545453</v>
      </c>
      <c r="O9" s="33">
        <f>(F9+J9+K9+L9)</f>
        <v>433.80833333333328</v>
      </c>
      <c r="P9" s="36">
        <f>O9/N9</f>
        <v>0.363885986919532</v>
      </c>
      <c r="Q9" s="29">
        <f>N9*MS_p</f>
        <v>298.03863636363633</v>
      </c>
      <c r="R9" s="21">
        <f t="shared" si="0"/>
        <v>0.25</v>
      </c>
      <c r="S9" s="22">
        <f>P9-R9</f>
        <v>0.113885986919532</v>
      </c>
      <c r="T9" s="21" t="e">
        <f t="shared" si="1"/>
        <v>#N/A</v>
      </c>
    </row>
    <row r="10" spans="1:21" ht="15.75" x14ac:dyDescent="0.25">
      <c r="A10" s="2"/>
      <c r="B10" s="31">
        <v>42983</v>
      </c>
      <c r="C10" s="24"/>
      <c r="D10" s="25">
        <v>7</v>
      </c>
      <c r="E10" s="32">
        <v>1.0208333333333333</v>
      </c>
      <c r="F10" s="33">
        <f>(E10*24)*SMIC</f>
        <v>239.12</v>
      </c>
      <c r="G10" s="24"/>
      <c r="H10" s="24"/>
      <c r="I10" s="24"/>
      <c r="J10" s="34">
        <f>'[2]Drive wg bill'!$F$35*3</f>
        <v>0</v>
      </c>
      <c r="K10" s="33">
        <f t="shared" ref="K10:K15" si="2">(F10+J10)*0.25</f>
        <v>59.78</v>
      </c>
      <c r="L10" s="35">
        <v>102.375</v>
      </c>
      <c r="M10" s="27">
        <v>1342.5</v>
      </c>
      <c r="N10" s="27">
        <f>M10/TVA</f>
        <v>1220.4545454545453</v>
      </c>
      <c r="O10" s="33">
        <f>(F10+J10+K10+L10)</f>
        <v>401.27499999999998</v>
      </c>
      <c r="P10" s="36">
        <f>O10/N10</f>
        <v>0.32879143389199256</v>
      </c>
      <c r="Q10" s="29">
        <f>N10*MS_p</f>
        <v>305.11363636363632</v>
      </c>
      <c r="R10" s="21">
        <f t="shared" si="0"/>
        <v>0.25</v>
      </c>
      <c r="S10" s="22">
        <f t="shared" ref="S10:S35" si="3">P10-R10</f>
        <v>7.8791433891992557E-2</v>
      </c>
      <c r="T10" s="21" t="e">
        <f t="shared" si="1"/>
        <v>#N/A</v>
      </c>
    </row>
    <row r="11" spans="1:21" ht="15.75" x14ac:dyDescent="0.25">
      <c r="A11" s="2"/>
      <c r="B11" s="31">
        <v>42984</v>
      </c>
      <c r="C11" s="24"/>
      <c r="D11" s="25">
        <v>8</v>
      </c>
      <c r="E11" s="32">
        <v>1.3888888888888891</v>
      </c>
      <c r="F11" s="33">
        <f>(E11*24)*SMIC</f>
        <v>325.33333333333337</v>
      </c>
      <c r="G11" s="24"/>
      <c r="H11" s="24"/>
      <c r="I11" s="24"/>
      <c r="J11" s="34">
        <f>'[2]Drive wg bill'!$H$35*3</f>
        <v>0</v>
      </c>
      <c r="K11" s="33">
        <f t="shared" si="2"/>
        <v>81.333333333333343</v>
      </c>
      <c r="L11" s="35">
        <v>102.375</v>
      </c>
      <c r="M11" s="27">
        <v>1691.66</v>
      </c>
      <c r="N11" s="27">
        <f>M11/TVA</f>
        <v>1537.8727272727272</v>
      </c>
      <c r="O11" s="33">
        <f>(F11+J11+K11+L11)</f>
        <v>509.04166666666674</v>
      </c>
      <c r="P11" s="36">
        <f>O11/N11</f>
        <v>0.33100376750253208</v>
      </c>
      <c r="Q11" s="29">
        <f>N11*MS_p</f>
        <v>384.46818181818179</v>
      </c>
      <c r="R11" s="21">
        <f t="shared" si="0"/>
        <v>0.25</v>
      </c>
      <c r="S11" s="22">
        <f t="shared" si="3"/>
        <v>8.1003767502532076E-2</v>
      </c>
      <c r="T11" s="21" t="e">
        <f t="shared" si="1"/>
        <v>#N/A</v>
      </c>
    </row>
    <row r="12" spans="1:21" ht="15.75" x14ac:dyDescent="0.25">
      <c r="A12" s="2"/>
      <c r="B12" s="31">
        <v>42985</v>
      </c>
      <c r="C12" s="24"/>
      <c r="D12" s="25">
        <v>8</v>
      </c>
      <c r="E12" s="32">
        <v>1.2777777777777779</v>
      </c>
      <c r="F12" s="33">
        <f>(E12*24)*SMIC</f>
        <v>299.30666666666673</v>
      </c>
      <c r="G12" s="24"/>
      <c r="H12" s="24"/>
      <c r="I12" s="24"/>
      <c r="J12" s="34">
        <f>'[2]Drive wg bill'!$J$35*Prime_Coupure</f>
        <v>0</v>
      </c>
      <c r="K12" s="33">
        <f t="shared" si="2"/>
        <v>74.826666666666682</v>
      </c>
      <c r="L12" s="35">
        <v>102.375</v>
      </c>
      <c r="M12" s="27">
        <v>1042.9100000000001</v>
      </c>
      <c r="N12" s="27">
        <f>M12/TVA</f>
        <v>948.1</v>
      </c>
      <c r="O12" s="33">
        <f>(F12+J12+K12+L12)</f>
        <v>476.50833333333344</v>
      </c>
      <c r="P12" s="36">
        <f>O12/N12</f>
        <v>0.50259290510846266</v>
      </c>
      <c r="Q12" s="29">
        <f>N12*MS_p</f>
        <v>237.02500000000001</v>
      </c>
      <c r="R12" s="21">
        <f t="shared" si="0"/>
        <v>0.25</v>
      </c>
      <c r="S12" s="22">
        <f t="shared" si="3"/>
        <v>0.25259290510846266</v>
      </c>
      <c r="T12" s="21" t="e">
        <f t="shared" si="1"/>
        <v>#N/A</v>
      </c>
    </row>
    <row r="13" spans="1:21" ht="15.75" x14ac:dyDescent="0.25">
      <c r="A13" s="2"/>
      <c r="B13" s="31">
        <v>42986</v>
      </c>
      <c r="C13" s="24"/>
      <c r="D13" s="25">
        <v>10</v>
      </c>
      <c r="E13" s="32">
        <v>1.6666666666666667</v>
      </c>
      <c r="F13" s="33">
        <f>(E13*24)*SMIC</f>
        <v>390.4</v>
      </c>
      <c r="G13" s="24"/>
      <c r="H13" s="24"/>
      <c r="I13" s="24"/>
      <c r="J13" s="34">
        <f>'[2]Drive wg bill'!$L$35*Prime_Coupure</f>
        <v>0</v>
      </c>
      <c r="K13" s="33">
        <f t="shared" si="2"/>
        <v>97.6</v>
      </c>
      <c r="L13" s="35">
        <v>102.375</v>
      </c>
      <c r="M13" s="27">
        <v>2595.1799999999998</v>
      </c>
      <c r="N13" s="27">
        <f>M13/TVA</f>
        <v>2359.2545454545452</v>
      </c>
      <c r="O13" s="33">
        <f>(F13+J13+K13+L13)</f>
        <v>590.375</v>
      </c>
      <c r="P13" s="36">
        <f>O13/N13</f>
        <v>0.25023794110620462</v>
      </c>
      <c r="Q13" s="29">
        <f>N13*MS_p</f>
        <v>589.81363636363631</v>
      </c>
      <c r="R13" s="21">
        <f t="shared" si="0"/>
        <v>0.25</v>
      </c>
      <c r="S13" s="22">
        <f t="shared" si="3"/>
        <v>2.3794110620461995E-4</v>
      </c>
      <c r="T13" s="21" t="e">
        <f t="shared" si="1"/>
        <v>#N/A</v>
      </c>
    </row>
    <row r="14" spans="1:21" ht="15.75" x14ac:dyDescent="0.25">
      <c r="A14" s="2"/>
      <c r="B14" s="23">
        <v>42987</v>
      </c>
      <c r="C14" s="24"/>
      <c r="D14" s="25">
        <v>8</v>
      </c>
      <c r="E14" s="32">
        <v>1.8819444444444444</v>
      </c>
      <c r="F14" s="33">
        <f>(E14*24)*SMIC</f>
        <v>440.82666666666665</v>
      </c>
      <c r="G14" s="24"/>
      <c r="H14" s="24"/>
      <c r="I14" s="24"/>
      <c r="J14" s="34">
        <f>'[2]Drive wg bill'!$N$35*3</f>
        <v>0</v>
      </c>
      <c r="K14" s="33">
        <f t="shared" si="2"/>
        <v>110.20666666666666</v>
      </c>
      <c r="L14" s="35">
        <v>102.375</v>
      </c>
      <c r="M14" s="27">
        <v>3514.93</v>
      </c>
      <c r="N14" s="27">
        <f>M14/TVA</f>
        <v>3195.3909090909087</v>
      </c>
      <c r="O14" s="33">
        <f>(F14+J14+K14+L14)</f>
        <v>653.4083333333333</v>
      </c>
      <c r="P14" s="36">
        <f>O14/N14</f>
        <v>0.20448463174705234</v>
      </c>
      <c r="Q14" s="29">
        <f>N14*MS_p</f>
        <v>798.84772727272718</v>
      </c>
      <c r="R14" s="21">
        <f t="shared" si="0"/>
        <v>0.25</v>
      </c>
      <c r="S14" s="22">
        <f t="shared" si="3"/>
        <v>-4.5515368252947663E-2</v>
      </c>
      <c r="T14" s="21" t="e">
        <f t="shared" si="1"/>
        <v>#N/A</v>
      </c>
    </row>
    <row r="15" spans="1:21" ht="15.75" x14ac:dyDescent="0.25">
      <c r="A15" s="2"/>
      <c r="B15" s="23">
        <v>42988</v>
      </c>
      <c r="C15" s="24"/>
      <c r="D15" s="25">
        <v>9</v>
      </c>
      <c r="E15" s="32">
        <v>1.7986111111111109</v>
      </c>
      <c r="F15" s="33">
        <f>(E15*24)*SMIC</f>
        <v>421.30666666666662</v>
      </c>
      <c r="G15" s="24"/>
      <c r="H15" s="24"/>
      <c r="I15" s="24"/>
      <c r="J15" s="34">
        <f>'[2]Drive wg bill'!$P$35*3</f>
        <v>0</v>
      </c>
      <c r="K15" s="33">
        <f t="shared" si="2"/>
        <v>105.32666666666665</v>
      </c>
      <c r="L15" s="35">
        <v>102.375</v>
      </c>
      <c r="M15" s="27">
        <v>2521.84</v>
      </c>
      <c r="N15" s="27">
        <f>M15/TVA</f>
        <v>2292.5818181818181</v>
      </c>
      <c r="O15" s="33">
        <f>(F15+J15+K15+L15)</f>
        <v>629.00833333333321</v>
      </c>
      <c r="P15" s="36">
        <f>O15/N15</f>
        <v>0.27436679831657301</v>
      </c>
      <c r="Q15" s="29">
        <f>N15*MS_p</f>
        <v>573.14545454545453</v>
      </c>
      <c r="R15" s="21">
        <f t="shared" si="0"/>
        <v>0.25</v>
      </c>
      <c r="S15" s="22">
        <f t="shared" si="3"/>
        <v>2.4366798316573013E-2</v>
      </c>
      <c r="T15" s="21" t="e">
        <f t="shared" si="1"/>
        <v>#N/A</v>
      </c>
    </row>
    <row r="16" spans="1:21" ht="15.75" x14ac:dyDescent="0.25">
      <c r="A16" s="2"/>
      <c r="B16" s="31">
        <v>42989</v>
      </c>
      <c r="C16" s="24"/>
      <c r="D16" s="25"/>
      <c r="E16" s="24"/>
      <c r="F16" s="24"/>
      <c r="G16" s="24"/>
      <c r="H16" s="24"/>
      <c r="I16" s="24"/>
      <c r="J16" s="24"/>
      <c r="K16" s="24"/>
      <c r="L16" s="26"/>
      <c r="M16" s="27">
        <v>1034.4000000000001</v>
      </c>
      <c r="N16" s="27">
        <f>M16/TVA</f>
        <v>940.36363636363637</v>
      </c>
      <c r="O16" s="24"/>
      <c r="P16" s="28"/>
      <c r="Q16" s="29">
        <f>N16*MS_p</f>
        <v>235.09090909090909</v>
      </c>
      <c r="R16" s="21">
        <f t="shared" si="0"/>
        <v>0.25</v>
      </c>
      <c r="S16" s="22"/>
    </row>
    <row r="17" spans="1:19" ht="15.75" x14ac:dyDescent="0.25">
      <c r="A17" s="2"/>
      <c r="B17" s="31">
        <v>42990</v>
      </c>
      <c r="C17" s="24"/>
      <c r="D17" s="25"/>
      <c r="E17" s="24"/>
      <c r="F17" s="24"/>
      <c r="G17" s="24"/>
      <c r="H17" s="24"/>
      <c r="I17" s="24"/>
      <c r="J17" s="24"/>
      <c r="K17" s="24"/>
      <c r="L17" s="26"/>
      <c r="M17" s="27">
        <v>1241.73</v>
      </c>
      <c r="N17" s="27">
        <f>M17/TVA</f>
        <v>1128.8454545454545</v>
      </c>
      <c r="O17" s="24"/>
      <c r="P17" s="28"/>
      <c r="Q17" s="29">
        <f>N17*MS_p</f>
        <v>282.21136363636361</v>
      </c>
      <c r="R17" s="21">
        <f t="shared" si="0"/>
        <v>0.25</v>
      </c>
      <c r="S17" s="22"/>
    </row>
    <row r="18" spans="1:19" ht="15.75" x14ac:dyDescent="0.25">
      <c r="A18" s="2"/>
      <c r="B18" s="31">
        <v>42991</v>
      </c>
      <c r="C18" s="24"/>
      <c r="D18" s="25"/>
      <c r="E18" s="24"/>
      <c r="F18" s="24"/>
      <c r="G18" s="24"/>
      <c r="H18" s="24"/>
      <c r="I18" s="24"/>
      <c r="J18" s="24"/>
      <c r="K18" s="24"/>
      <c r="L18" s="26"/>
      <c r="M18" s="27">
        <v>1876.24</v>
      </c>
      <c r="N18" s="27">
        <f>M18/TVA</f>
        <v>1705.6727272727271</v>
      </c>
      <c r="O18" s="24"/>
      <c r="P18" s="28"/>
      <c r="Q18" s="29">
        <f>N18*MS_p</f>
        <v>426.41818181818178</v>
      </c>
      <c r="R18" s="21">
        <f t="shared" si="0"/>
        <v>0.25</v>
      </c>
      <c r="S18" s="22"/>
    </row>
    <row r="19" spans="1:19" ht="15.75" x14ac:dyDescent="0.25">
      <c r="A19" s="2"/>
      <c r="B19" s="31">
        <v>42992</v>
      </c>
      <c r="C19" s="24"/>
      <c r="D19" s="25"/>
      <c r="E19" s="24"/>
      <c r="F19" s="24"/>
      <c r="G19" s="24"/>
      <c r="H19" s="24"/>
      <c r="I19" s="24"/>
      <c r="J19" s="24"/>
      <c r="K19" s="24"/>
      <c r="L19" s="26"/>
      <c r="M19" s="27">
        <v>1224.68</v>
      </c>
      <c r="N19" s="27">
        <f>M19/TVA</f>
        <v>1113.3454545454545</v>
      </c>
      <c r="O19" s="24"/>
      <c r="P19" s="28"/>
      <c r="Q19" s="29">
        <f>N19*MS_p</f>
        <v>278.33636363636361</v>
      </c>
      <c r="R19" s="21">
        <f t="shared" si="0"/>
        <v>0.25</v>
      </c>
      <c r="S19" s="22"/>
    </row>
    <row r="20" spans="1:19" ht="15.75" x14ac:dyDescent="0.25">
      <c r="A20" s="2"/>
      <c r="B20" s="31">
        <v>42993</v>
      </c>
      <c r="C20" s="24"/>
      <c r="D20" s="25"/>
      <c r="E20" s="24"/>
      <c r="F20" s="24"/>
      <c r="G20" s="24"/>
      <c r="H20" s="24"/>
      <c r="I20" s="24"/>
      <c r="J20" s="24"/>
      <c r="K20" s="24"/>
      <c r="L20" s="26"/>
      <c r="M20" s="27">
        <v>1855</v>
      </c>
      <c r="N20" s="27">
        <f>M20/TVA</f>
        <v>1686.3636363636363</v>
      </c>
      <c r="O20" s="24"/>
      <c r="P20" s="28"/>
      <c r="Q20" s="29">
        <f>N20*MS_p</f>
        <v>421.59090909090907</v>
      </c>
      <c r="R20" s="21">
        <f t="shared" si="0"/>
        <v>0.25</v>
      </c>
      <c r="S20" s="22"/>
    </row>
    <row r="21" spans="1:19" ht="15.75" x14ac:dyDescent="0.25">
      <c r="A21" s="2"/>
      <c r="B21" s="23">
        <v>42994</v>
      </c>
      <c r="C21" s="24"/>
      <c r="D21" s="25"/>
      <c r="E21" s="24"/>
      <c r="F21" s="24"/>
      <c r="G21" s="24"/>
      <c r="H21" s="24"/>
      <c r="I21" s="24"/>
      <c r="J21" s="24"/>
      <c r="K21" s="24"/>
      <c r="L21" s="26"/>
      <c r="M21" s="27">
        <v>2922.51</v>
      </c>
      <c r="N21" s="27">
        <f>M21/TVA</f>
        <v>2656.8272727272729</v>
      </c>
      <c r="O21" s="24"/>
      <c r="P21" s="28"/>
      <c r="Q21" s="29">
        <f>N21*MS_p</f>
        <v>664.20681818181822</v>
      </c>
      <c r="R21" s="21">
        <f t="shared" si="0"/>
        <v>0.25</v>
      </c>
      <c r="S21" s="22"/>
    </row>
    <row r="22" spans="1:19" ht="15.75" x14ac:dyDescent="0.25">
      <c r="A22" s="2"/>
      <c r="B22" s="23">
        <v>42995</v>
      </c>
      <c r="C22" s="24"/>
      <c r="D22" s="25"/>
      <c r="E22" s="24"/>
      <c r="F22" s="24"/>
      <c r="G22" s="24"/>
      <c r="H22" s="24"/>
      <c r="I22" s="24"/>
      <c r="J22" s="24"/>
      <c r="K22" s="24"/>
      <c r="L22" s="26"/>
      <c r="M22" s="27">
        <v>1823.63</v>
      </c>
      <c r="N22" s="27">
        <f>M22/TVA</f>
        <v>1657.8454545454545</v>
      </c>
      <c r="O22" s="24"/>
      <c r="P22" s="28"/>
      <c r="Q22" s="29">
        <f>N22*MS_p</f>
        <v>414.46136363636361</v>
      </c>
      <c r="R22" s="21">
        <f t="shared" si="0"/>
        <v>0.25</v>
      </c>
      <c r="S22" s="22"/>
    </row>
    <row r="23" spans="1:19" ht="15.75" x14ac:dyDescent="0.25">
      <c r="A23" s="2"/>
      <c r="B23" s="31">
        <v>42996</v>
      </c>
      <c r="C23" s="24"/>
      <c r="D23" s="25"/>
      <c r="E23" s="24"/>
      <c r="F23" s="24"/>
      <c r="G23" s="24"/>
      <c r="H23" s="24"/>
      <c r="I23" s="24"/>
      <c r="J23" s="24"/>
      <c r="K23" s="24"/>
      <c r="L23" s="26"/>
      <c r="M23" s="27">
        <v>782.69</v>
      </c>
      <c r="N23" s="27">
        <f>M23/TVA</f>
        <v>711.5363636363636</v>
      </c>
      <c r="O23" s="24"/>
      <c r="P23" s="28"/>
      <c r="Q23" s="29">
        <f>N23*MS_p</f>
        <v>177.8840909090909</v>
      </c>
      <c r="R23" s="21">
        <f t="shared" si="0"/>
        <v>0.25</v>
      </c>
      <c r="S23" s="22"/>
    </row>
    <row r="24" spans="1:19" ht="15.75" x14ac:dyDescent="0.25">
      <c r="A24" s="2"/>
      <c r="B24" s="31">
        <v>42997</v>
      </c>
      <c r="C24" s="24"/>
      <c r="D24" s="25"/>
      <c r="E24" s="24"/>
      <c r="F24" s="24"/>
      <c r="G24" s="24"/>
      <c r="H24" s="24"/>
      <c r="I24" s="24"/>
      <c r="J24" s="24"/>
      <c r="K24" s="24"/>
      <c r="L24" s="26"/>
      <c r="M24" s="27">
        <v>746.13</v>
      </c>
      <c r="N24" s="27">
        <f>M24/TVA</f>
        <v>678.3</v>
      </c>
      <c r="O24" s="24"/>
      <c r="P24" s="28"/>
      <c r="Q24" s="29">
        <f>N24*MS_p</f>
        <v>169.57499999999999</v>
      </c>
      <c r="R24" s="21">
        <f t="shared" si="0"/>
        <v>0.25</v>
      </c>
      <c r="S24" s="22"/>
    </row>
    <row r="25" spans="1:19" ht="15.75" x14ac:dyDescent="0.25">
      <c r="A25" s="2"/>
      <c r="B25" s="31">
        <v>42998</v>
      </c>
      <c r="C25" s="24"/>
      <c r="D25" s="25"/>
      <c r="E25" s="24"/>
      <c r="F25" s="24"/>
      <c r="G25" s="24"/>
      <c r="H25" s="24"/>
      <c r="I25" s="24"/>
      <c r="J25" s="24"/>
      <c r="K25" s="24"/>
      <c r="L25" s="26"/>
      <c r="M25" s="27">
        <v>1242.96</v>
      </c>
      <c r="N25" s="27">
        <f>M25/TVA</f>
        <v>1129.9636363636364</v>
      </c>
      <c r="O25" s="24"/>
      <c r="P25" s="28"/>
      <c r="Q25" s="29">
        <f>N25*MS_p</f>
        <v>282.4909090909091</v>
      </c>
      <c r="R25" s="21">
        <f t="shared" si="0"/>
        <v>0.25</v>
      </c>
      <c r="S25" s="22"/>
    </row>
    <row r="26" spans="1:19" ht="15.75" x14ac:dyDescent="0.25">
      <c r="A26" s="2"/>
      <c r="B26" s="31">
        <v>42999</v>
      </c>
      <c r="C26" s="24"/>
      <c r="D26" s="25"/>
      <c r="E26" s="24"/>
      <c r="F26" s="24"/>
      <c r="G26" s="24"/>
      <c r="H26" s="24"/>
      <c r="I26" s="24"/>
      <c r="J26" s="24"/>
      <c r="K26" s="24"/>
      <c r="L26" s="26"/>
      <c r="M26" s="27">
        <v>915.4</v>
      </c>
      <c r="N26" s="27">
        <f>M26/TVA</f>
        <v>832.18181818181813</v>
      </c>
      <c r="O26" s="24"/>
      <c r="P26" s="28"/>
      <c r="Q26" s="29">
        <f>N26*MS_p</f>
        <v>208.04545454545453</v>
      </c>
      <c r="R26" s="21">
        <f t="shared" si="0"/>
        <v>0.25</v>
      </c>
      <c r="S26" s="22"/>
    </row>
    <row r="27" spans="1:19" ht="15.75" x14ac:dyDescent="0.25">
      <c r="A27" s="2"/>
      <c r="B27" s="31">
        <v>43000</v>
      </c>
      <c r="C27" s="24"/>
      <c r="D27" s="25"/>
      <c r="E27" s="24"/>
      <c r="F27" s="24"/>
      <c r="G27" s="24"/>
      <c r="H27" s="24"/>
      <c r="I27" s="24"/>
      <c r="J27" s="24"/>
      <c r="K27" s="24"/>
      <c r="L27" s="26"/>
      <c r="M27" s="27">
        <v>1145.07</v>
      </c>
      <c r="N27" s="27">
        <f>M27/TVA</f>
        <v>1040.9727272727271</v>
      </c>
      <c r="O27" s="24"/>
      <c r="P27" s="28"/>
      <c r="Q27" s="29">
        <f>N27*MS_p</f>
        <v>260.24318181818177</v>
      </c>
      <c r="R27" s="21">
        <f t="shared" si="0"/>
        <v>0.25</v>
      </c>
      <c r="S27" s="22"/>
    </row>
    <row r="28" spans="1:19" ht="15.75" x14ac:dyDescent="0.25">
      <c r="A28" s="2"/>
      <c r="B28" s="23">
        <v>43001</v>
      </c>
      <c r="C28" s="24"/>
      <c r="D28" s="25"/>
      <c r="E28" s="24"/>
      <c r="F28" s="24"/>
      <c r="G28" s="24"/>
      <c r="H28" s="24"/>
      <c r="I28" s="24"/>
      <c r="J28" s="24"/>
      <c r="K28" s="24"/>
      <c r="L28" s="26"/>
      <c r="M28" s="27">
        <v>1990.1</v>
      </c>
      <c r="N28" s="27">
        <f>M28/TVA</f>
        <v>1809.181818181818</v>
      </c>
      <c r="O28" s="24"/>
      <c r="P28" s="28"/>
      <c r="Q28" s="29">
        <f>N28*MS_p</f>
        <v>452.2954545454545</v>
      </c>
      <c r="R28" s="21">
        <f t="shared" si="0"/>
        <v>0.25</v>
      </c>
      <c r="S28" s="22"/>
    </row>
    <row r="29" spans="1:19" ht="15.75" x14ac:dyDescent="0.25">
      <c r="A29" s="2"/>
      <c r="B29" s="23">
        <v>43002</v>
      </c>
      <c r="C29" s="24"/>
      <c r="D29" s="25"/>
      <c r="E29" s="24"/>
      <c r="F29" s="24"/>
      <c r="G29" s="24"/>
      <c r="H29" s="24"/>
      <c r="I29" s="24"/>
      <c r="J29" s="24"/>
      <c r="K29" s="24"/>
      <c r="L29" s="26"/>
      <c r="M29" s="27">
        <v>1264.79</v>
      </c>
      <c r="N29" s="27">
        <f>M29/TVA</f>
        <v>1149.8090909090909</v>
      </c>
      <c r="O29" s="24"/>
      <c r="P29" s="28"/>
      <c r="Q29" s="29">
        <f>N29*MS_p</f>
        <v>287.45227272727271</v>
      </c>
      <c r="R29" s="21">
        <f t="shared" si="0"/>
        <v>0.25</v>
      </c>
      <c r="S29" s="22"/>
    </row>
    <row r="30" spans="1:19" ht="15.75" x14ac:dyDescent="0.25">
      <c r="A30" s="2"/>
      <c r="B30" s="31">
        <v>43003</v>
      </c>
      <c r="C30" s="24"/>
      <c r="D30" s="25"/>
      <c r="E30" s="24"/>
      <c r="F30" s="24"/>
      <c r="G30" s="24"/>
      <c r="H30" s="24"/>
      <c r="I30" s="24"/>
      <c r="J30" s="24"/>
      <c r="K30" s="24"/>
      <c r="L30" s="26"/>
      <c r="M30" s="27">
        <v>602.76</v>
      </c>
      <c r="N30" s="27">
        <f>M30/TVA</f>
        <v>547.96363636363628</v>
      </c>
      <c r="O30" s="24"/>
      <c r="P30" s="28"/>
      <c r="Q30" s="29">
        <f>N30*MS_p</f>
        <v>136.99090909090907</v>
      </c>
      <c r="R30" s="21">
        <f t="shared" si="0"/>
        <v>0.25</v>
      </c>
      <c r="S30" s="22"/>
    </row>
    <row r="31" spans="1:19" ht="15.75" x14ac:dyDescent="0.25">
      <c r="A31" s="2"/>
      <c r="B31" s="31">
        <v>43004</v>
      </c>
      <c r="C31" s="24"/>
      <c r="D31" s="25"/>
      <c r="E31" s="24"/>
      <c r="F31" s="24"/>
      <c r="G31" s="24"/>
      <c r="H31" s="24"/>
      <c r="I31" s="24"/>
      <c r="J31" s="24"/>
      <c r="K31" s="24"/>
      <c r="L31" s="26"/>
      <c r="M31" s="24"/>
      <c r="N31" s="33"/>
      <c r="O31" s="24"/>
      <c r="P31" s="28"/>
      <c r="Q31" s="29">
        <f>N31*MS_p</f>
        <v>0</v>
      </c>
      <c r="R31" s="21">
        <f t="shared" si="0"/>
        <v>0</v>
      </c>
      <c r="S31" s="22">
        <f t="shared" si="3"/>
        <v>0</v>
      </c>
    </row>
    <row r="32" spans="1:19" ht="15.75" x14ac:dyDescent="0.25">
      <c r="A32" s="2"/>
      <c r="B32" s="31">
        <v>43005</v>
      </c>
      <c r="C32" s="24"/>
      <c r="D32" s="25"/>
      <c r="E32" s="24"/>
      <c r="F32" s="24"/>
      <c r="G32" s="24"/>
      <c r="H32" s="24"/>
      <c r="I32" s="24"/>
      <c r="J32" s="24"/>
      <c r="K32" s="24"/>
      <c r="L32" s="26"/>
      <c r="M32" s="24"/>
      <c r="N32" s="33"/>
      <c r="O32" s="24"/>
      <c r="P32" s="28"/>
      <c r="Q32" s="29">
        <f>N32*MS_p</f>
        <v>0</v>
      </c>
      <c r="R32" s="21">
        <f t="shared" si="0"/>
        <v>0</v>
      </c>
      <c r="S32" s="22">
        <f t="shared" si="3"/>
        <v>0</v>
      </c>
    </row>
    <row r="33" spans="1:19" ht="15.75" x14ac:dyDescent="0.25">
      <c r="A33" s="2"/>
      <c r="B33" s="31">
        <v>43006</v>
      </c>
      <c r="C33" s="24"/>
      <c r="D33" s="25"/>
      <c r="E33" s="24"/>
      <c r="F33" s="24"/>
      <c r="G33" s="24"/>
      <c r="H33" s="24"/>
      <c r="I33" s="24"/>
      <c r="J33" s="24"/>
      <c r="K33" s="24"/>
      <c r="L33" s="26"/>
      <c r="M33" s="24"/>
      <c r="N33" s="33"/>
      <c r="O33" s="24"/>
      <c r="P33" s="28"/>
      <c r="Q33" s="29">
        <f>N33*MS_p</f>
        <v>0</v>
      </c>
      <c r="R33" s="21">
        <f t="shared" si="0"/>
        <v>0</v>
      </c>
      <c r="S33" s="22">
        <f t="shared" si="3"/>
        <v>0</v>
      </c>
    </row>
    <row r="34" spans="1:19" ht="15.75" x14ac:dyDescent="0.25">
      <c r="A34" s="2"/>
      <c r="B34" s="31">
        <v>43007</v>
      </c>
      <c r="C34" s="24"/>
      <c r="D34" s="25"/>
      <c r="E34" s="24"/>
      <c r="F34" s="24"/>
      <c r="G34" s="24"/>
      <c r="H34" s="24"/>
      <c r="I34" s="24"/>
      <c r="J34" s="24"/>
      <c r="K34" s="24"/>
      <c r="L34" s="26"/>
      <c r="M34" s="24"/>
      <c r="N34" s="33"/>
      <c r="O34" s="24"/>
      <c r="P34" s="28"/>
      <c r="Q34" s="29">
        <f>N34*MS_p</f>
        <v>0</v>
      </c>
      <c r="R34" s="21">
        <f t="shared" si="0"/>
        <v>0</v>
      </c>
      <c r="S34" s="22">
        <f t="shared" si="3"/>
        <v>0</v>
      </c>
    </row>
    <row r="35" spans="1:19" ht="16.5" thickBot="1" x14ac:dyDescent="0.3">
      <c r="A35" s="2"/>
      <c r="B35" s="37">
        <v>43008</v>
      </c>
      <c r="C35" s="38"/>
      <c r="D35" s="39"/>
      <c r="E35" s="38"/>
      <c r="F35" s="38"/>
      <c r="G35" s="38"/>
      <c r="H35" s="38"/>
      <c r="I35" s="38"/>
      <c r="J35" s="38"/>
      <c r="K35" s="38"/>
      <c r="L35" s="40"/>
      <c r="M35" s="38"/>
      <c r="N35" s="41"/>
      <c r="O35" s="38"/>
      <c r="P35" s="42"/>
      <c r="Q35" s="43">
        <f>N35*MS_p</f>
        <v>0</v>
      </c>
      <c r="R35" s="21">
        <f t="shared" si="0"/>
        <v>0</v>
      </c>
      <c r="S35" s="22">
        <f t="shared" si="3"/>
        <v>0</v>
      </c>
    </row>
    <row r="36" spans="1:19" ht="25.5" customHeight="1" thickBot="1" x14ac:dyDescent="0.3">
      <c r="A36" s="44" t="s">
        <v>15</v>
      </c>
      <c r="B36" s="45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7"/>
      <c r="N36" s="48">
        <f>SUM(N6:N35)</f>
        <v>39687.299999999996</v>
      </c>
      <c r="O36" s="46"/>
      <c r="P36" s="49">
        <f>AVERAGE(P6:P35)</f>
        <v>0.32219478065604995</v>
      </c>
      <c r="Q36" s="50">
        <f>SUM(Q6:Q35)/N36</f>
        <v>0.25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>
                  <from>
                    <xdr:col>21</xdr:col>
                    <xdr:colOff>0</xdr:colOff>
                    <xdr:row>4</xdr:row>
                    <xdr:rowOff>57150</xdr:rowOff>
                  </from>
                  <to>
                    <xdr:col>21</xdr:col>
                    <xdr:colOff>628650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MS_p</vt:lpstr>
      <vt:lpstr>Prime_Coupure</vt:lpstr>
      <vt:lpstr>SMIC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</dc:creator>
  <cp:lastModifiedBy>Yakisan Ibrahim</cp:lastModifiedBy>
  <dcterms:created xsi:type="dcterms:W3CDTF">2017-09-28T15:20:43Z</dcterms:created>
  <dcterms:modified xsi:type="dcterms:W3CDTF">2017-09-28T15:21:43Z</dcterms:modified>
</cp:coreProperties>
</file>