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"/>
    </mc:Choice>
  </mc:AlternateContent>
  <xr:revisionPtr revIDLastSave="0" documentId="8_{D29CB229-6FD1-4B2A-981F-F3CC58715454}" xr6:coauthVersionLast="38" xr6:coauthVersionMax="38" xr10:uidLastSave="{00000000-0000-0000-0000-000000000000}"/>
  <bookViews>
    <workbookView xWindow="0" yWindow="0" windowWidth="28800" windowHeight="12375" xr2:uid="{FDBE54C1-A801-4646-A747-1F53AFE13B56}"/>
  </bookViews>
  <sheets>
    <sheet name="Equipes" sheetId="1" r:id="rId1"/>
    <sheet name="Résultats et Classements" sheetId="2" r:id="rId2"/>
    <sheet name="Phase finale" sheetId="3" r:id="rId3"/>
  </sheets>
  <definedNames>
    <definedName name="Groupe_jaune">Equipes!$A$8:$A$12</definedName>
    <definedName name="Groupe_rouge">Equipes!$A$2:$A$6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3" l="1"/>
  <c r="G12" i="3"/>
  <c r="H12" i="3" s="1"/>
  <c r="G11" i="3"/>
  <c r="H11" i="3" s="1"/>
  <c r="G10" i="3"/>
  <c r="H10" i="3" s="1"/>
  <c r="G9" i="3"/>
  <c r="H9" i="3" s="1"/>
  <c r="G8" i="3"/>
  <c r="H8" i="3" s="1"/>
  <c r="H13" i="3"/>
  <c r="T19" i="2"/>
  <c r="T20" i="2"/>
  <c r="T21" i="2"/>
  <c r="T22" i="2"/>
  <c r="T18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X21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T4" i="2"/>
  <c r="AS4" i="2"/>
  <c r="AR4" i="2"/>
  <c r="AQ4" i="2"/>
  <c r="AP4" i="2"/>
  <c r="AO4" i="2"/>
  <c r="AN4" i="2"/>
  <c r="AM4" i="2"/>
  <c r="AL4" i="2"/>
  <c r="AK4" i="2"/>
  <c r="AJ4" i="2"/>
  <c r="AI4" i="2"/>
  <c r="AG4" i="2"/>
  <c r="W7" i="2" s="1"/>
  <c r="AH4" i="2"/>
  <c r="AX6" i="2"/>
  <c r="AX7" i="2"/>
  <c r="T5" i="2"/>
  <c r="AX5" i="2" s="1"/>
  <c r="T6" i="2"/>
  <c r="T7" i="2"/>
  <c r="T8" i="2"/>
  <c r="AX8" i="2" s="1"/>
  <c r="T4" i="2"/>
  <c r="AX4" i="2" s="1"/>
  <c r="AC19" i="2" l="1"/>
  <c r="X22" i="2"/>
  <c r="AB19" i="2"/>
  <c r="W18" i="2"/>
  <c r="W19" i="2"/>
  <c r="Z19" i="2"/>
  <c r="AB20" i="2"/>
  <c r="Y21" i="2"/>
  <c r="AA20" i="2"/>
  <c r="AC20" i="2"/>
  <c r="W22" i="2"/>
  <c r="Y18" i="2"/>
  <c r="X18" i="2"/>
  <c r="Y22" i="2"/>
  <c r="Z18" i="2"/>
  <c r="AX18" i="2"/>
  <c r="X19" i="2"/>
  <c r="AB21" i="2"/>
  <c r="Z22" i="2"/>
  <c r="AX22" i="2"/>
  <c r="AA21" i="2"/>
  <c r="AA18" i="2"/>
  <c r="Y19" i="2"/>
  <c r="W20" i="2"/>
  <c r="AC21" i="2"/>
  <c r="AA22" i="2"/>
  <c r="AX19" i="2"/>
  <c r="X20" i="2"/>
  <c r="AB22" i="2"/>
  <c r="AC18" i="2"/>
  <c r="AA19" i="2"/>
  <c r="Y20" i="2"/>
  <c r="W21" i="2"/>
  <c r="AC22" i="2"/>
  <c r="AB18" i="2"/>
  <c r="Z20" i="2"/>
  <c r="AX20" i="2"/>
  <c r="X21" i="2"/>
  <c r="Z21" i="2"/>
  <c r="X8" i="2"/>
  <c r="AC4" i="2"/>
  <c r="AB5" i="2"/>
  <c r="X6" i="2"/>
  <c r="AB4" i="2"/>
  <c r="AC8" i="2"/>
  <c r="X5" i="2"/>
  <c r="AC5" i="2"/>
  <c r="W5" i="2"/>
  <c r="AA8" i="2"/>
  <c r="X7" i="2"/>
  <c r="AA7" i="2"/>
  <c r="X4" i="2"/>
  <c r="AB7" i="2"/>
  <c r="Z6" i="2"/>
  <c r="AB8" i="2"/>
  <c r="W8" i="2"/>
  <c r="W6" i="2"/>
  <c r="Y6" i="2"/>
  <c r="W4" i="2"/>
  <c r="Y5" i="2"/>
  <c r="Y4" i="2"/>
  <c r="Z5" i="2"/>
  <c r="AA6" i="2"/>
  <c r="Z4" i="2"/>
  <c r="AA5" i="2"/>
  <c r="AB6" i="2"/>
  <c r="AC7" i="2"/>
  <c r="AA4" i="2"/>
  <c r="AC6" i="2"/>
  <c r="Y8" i="2"/>
  <c r="Y7" i="2"/>
  <c r="Z8" i="2"/>
  <c r="Z7" i="2"/>
  <c r="AD5" i="2" l="1"/>
  <c r="AE5" i="2" s="1"/>
  <c r="AF5" i="2" s="1"/>
  <c r="AD19" i="2"/>
  <c r="AE19" i="2" s="1"/>
  <c r="AF19" i="2" s="1"/>
  <c r="AD20" i="2"/>
  <c r="AE20" i="2" s="1"/>
  <c r="AF20" i="2" s="1"/>
  <c r="AD21" i="2"/>
  <c r="AE21" i="2" s="1"/>
  <c r="AD22" i="2"/>
  <c r="AE22" i="2" s="1"/>
  <c r="AD18" i="2"/>
  <c r="AE18" i="2" s="1"/>
  <c r="AD8" i="2"/>
  <c r="AE8" i="2" s="1"/>
  <c r="AF8" i="2" s="1"/>
  <c r="AD4" i="2"/>
  <c r="AE4" i="2" s="1"/>
  <c r="AF4" i="2" s="1"/>
  <c r="AD7" i="2"/>
  <c r="AE7" i="2" s="1"/>
  <c r="AF7" i="2" s="1"/>
  <c r="AD6" i="2"/>
  <c r="AE6" i="2" s="1"/>
  <c r="AF6" i="2" s="1"/>
  <c r="U19" i="2" l="1"/>
  <c r="AF18" i="2"/>
  <c r="U18" i="2"/>
  <c r="AF22" i="2"/>
  <c r="U22" i="2"/>
  <c r="U20" i="2"/>
  <c r="AF21" i="2"/>
  <c r="U21" i="2"/>
  <c r="V8" i="2"/>
  <c r="S8" i="2" s="1"/>
  <c r="V5" i="2"/>
  <c r="S5" i="2" s="1"/>
  <c r="U4" i="2"/>
  <c r="U5" i="2"/>
  <c r="U6" i="2"/>
  <c r="U7" i="2"/>
  <c r="U8" i="2"/>
  <c r="V4" i="2"/>
  <c r="S4" i="2" s="1"/>
  <c r="V7" i="2"/>
  <c r="S7" i="2" s="1"/>
  <c r="V6" i="2"/>
  <c r="S6" i="2" s="1"/>
  <c r="V21" i="2" l="1"/>
  <c r="S21" i="2" s="1"/>
  <c r="V20" i="2"/>
  <c r="S20" i="2" s="1"/>
  <c r="V22" i="2"/>
  <c r="S22" i="2" s="1"/>
  <c r="V18" i="2"/>
  <c r="S18" i="2" s="1"/>
  <c r="V19" i="2"/>
  <c r="S19" i="2" s="1"/>
  <c r="I4" i="2"/>
  <c r="I5" i="2"/>
  <c r="I7" i="2"/>
  <c r="AU5" i="2"/>
  <c r="AV5" i="2" s="1"/>
  <c r="AU8" i="2"/>
  <c r="AV8" i="2" s="1"/>
  <c r="I8" i="2"/>
  <c r="AU6" i="2"/>
  <c r="AV6" i="2" s="1"/>
  <c r="I6" i="2"/>
  <c r="AU4" i="2"/>
  <c r="AV4" i="2" s="1"/>
  <c r="AU7" i="2"/>
  <c r="AV7" i="2" s="1"/>
  <c r="I21" i="2" l="1"/>
  <c r="AU18" i="2"/>
  <c r="AV18" i="2" s="1"/>
  <c r="AU22" i="2"/>
  <c r="AV22" i="2" s="1"/>
  <c r="I20" i="2"/>
  <c r="AU21" i="2"/>
  <c r="AV21" i="2" s="1"/>
  <c r="I19" i="2"/>
  <c r="AU19" i="2"/>
  <c r="AV19" i="2" s="1"/>
  <c r="AU20" i="2"/>
  <c r="AV20" i="2" s="1"/>
  <c r="I22" i="2"/>
  <c r="I18" i="2"/>
  <c r="O6" i="2"/>
  <c r="L6" i="2"/>
  <c r="N6" i="2"/>
  <c r="M6" i="2"/>
  <c r="K6" i="2"/>
  <c r="A4" i="3" s="1"/>
  <c r="A13" i="3" s="1"/>
  <c r="J6" i="2"/>
  <c r="Q6" i="2"/>
  <c r="P6" i="2"/>
  <c r="AW6" i="2"/>
  <c r="M8" i="2"/>
  <c r="L8" i="2"/>
  <c r="K8" i="2"/>
  <c r="A10" i="3" s="1"/>
  <c r="J8" i="2"/>
  <c r="Q8" i="2"/>
  <c r="P8" i="2"/>
  <c r="O8" i="2"/>
  <c r="N8" i="2"/>
  <c r="AW8" i="2"/>
  <c r="AW5" i="2"/>
  <c r="J7" i="2"/>
  <c r="Q7" i="2"/>
  <c r="O7" i="2"/>
  <c r="P7" i="2"/>
  <c r="N7" i="2"/>
  <c r="M7" i="2"/>
  <c r="L7" i="2"/>
  <c r="K7" i="2"/>
  <c r="D5" i="3" s="1"/>
  <c r="D13" i="3" s="1"/>
  <c r="AW7" i="2"/>
  <c r="Q5" i="2"/>
  <c r="K5" i="2"/>
  <c r="D7" i="3" s="1"/>
  <c r="D22" i="3" s="1"/>
  <c r="G5" i="3" s="1"/>
  <c r="H5" i="3" s="1"/>
  <c r="J5" i="2"/>
  <c r="O5" i="2"/>
  <c r="N5" i="2"/>
  <c r="L5" i="2"/>
  <c r="P5" i="2"/>
  <c r="M5" i="2"/>
  <c r="AW4" i="2"/>
  <c r="Q4" i="2"/>
  <c r="P4" i="2"/>
  <c r="M4" i="2"/>
  <c r="L4" i="2"/>
  <c r="O4" i="2"/>
  <c r="K4" i="2"/>
  <c r="A6" i="3" s="1"/>
  <c r="A19" i="3" s="1"/>
  <c r="G7" i="3" s="1"/>
  <c r="H7" i="3" s="1"/>
  <c r="J4" i="2"/>
  <c r="N4" i="2"/>
  <c r="H7" i="2" l="1"/>
  <c r="AW19" i="2"/>
  <c r="AW20" i="2"/>
  <c r="M19" i="2"/>
  <c r="L19" i="2"/>
  <c r="K19" i="2"/>
  <c r="D6" i="3" s="1"/>
  <c r="A22" i="3" s="1"/>
  <c r="G4" i="3" s="1"/>
  <c r="H4" i="3" s="1"/>
  <c r="J19" i="2"/>
  <c r="Q19" i="2"/>
  <c r="N19" i="2"/>
  <c r="P19" i="2"/>
  <c r="O19" i="2"/>
  <c r="K20" i="2"/>
  <c r="A5" i="3" s="1"/>
  <c r="D16" i="3" s="1"/>
  <c r="J20" i="2"/>
  <c r="Q20" i="2"/>
  <c r="P20" i="2"/>
  <c r="L20" i="2"/>
  <c r="O20" i="2"/>
  <c r="N20" i="2"/>
  <c r="M20" i="2"/>
  <c r="AW21" i="2"/>
  <c r="AW22" i="2"/>
  <c r="O18" i="2"/>
  <c r="M18" i="2"/>
  <c r="L18" i="2"/>
  <c r="K18" i="2"/>
  <c r="A7" i="3" s="1"/>
  <c r="D19" i="3" s="1"/>
  <c r="G6" i="3" s="1"/>
  <c r="H6" i="3" s="1"/>
  <c r="J18" i="2"/>
  <c r="N18" i="2"/>
  <c r="Q18" i="2"/>
  <c r="P18" i="2"/>
  <c r="AW18" i="2"/>
  <c r="O22" i="2"/>
  <c r="N22" i="2"/>
  <c r="M22" i="2"/>
  <c r="L22" i="2"/>
  <c r="K22" i="2"/>
  <c r="D10" i="3" s="1"/>
  <c r="J22" i="2"/>
  <c r="P22" i="2"/>
  <c r="Q22" i="2"/>
  <c r="Q21" i="2"/>
  <c r="P21" i="2"/>
  <c r="O21" i="2"/>
  <c r="N21" i="2"/>
  <c r="J21" i="2"/>
  <c r="M21" i="2"/>
  <c r="L21" i="2"/>
  <c r="K21" i="2"/>
  <c r="D4" i="3" s="1"/>
  <c r="A16" i="3" s="1"/>
  <c r="H8" i="2"/>
  <c r="H6" i="2"/>
  <c r="H5" i="2"/>
  <c r="H21" i="2" l="1"/>
  <c r="H20" i="2"/>
  <c r="H22" i="2"/>
  <c r="H19" i="2"/>
</calcChain>
</file>

<file path=xl/sharedStrings.xml><?xml version="1.0" encoding="utf-8"?>
<sst xmlns="http://schemas.openxmlformats.org/spreadsheetml/2006/main" count="205" uniqueCount="46">
  <si>
    <t>Groupe rouge</t>
  </si>
  <si>
    <t>Groupe jaune</t>
  </si>
  <si>
    <t>Rousset 1</t>
  </si>
  <si>
    <t>EMH Allauh</t>
  </si>
  <si>
    <t>Alliance Nord Aix 2</t>
  </si>
  <si>
    <t>Rousset 2</t>
  </si>
  <si>
    <t>Vivaux Sauvagère</t>
  </si>
  <si>
    <t>FC Pourrière</t>
  </si>
  <si>
    <t>Gardanne Biver</t>
  </si>
  <si>
    <t>La Tour d'Aigues</t>
  </si>
  <si>
    <t>E</t>
  </si>
  <si>
    <t>Equipes</t>
  </si>
  <si>
    <t>Scores</t>
  </si>
  <si>
    <t>Horaires</t>
  </si>
  <si>
    <t>Dates</t>
  </si>
  <si>
    <t>GROUPE ROUGE</t>
  </si>
  <si>
    <t>Rousset 3</t>
  </si>
  <si>
    <t>Place</t>
  </si>
  <si>
    <t>Pts</t>
  </si>
  <si>
    <t>J</t>
  </si>
  <si>
    <t>G</t>
  </si>
  <si>
    <t>N</t>
  </si>
  <si>
    <t>P</t>
  </si>
  <si>
    <t>Bp</t>
  </si>
  <si>
    <t>Bc</t>
  </si>
  <si>
    <t>Diff.</t>
  </si>
  <si>
    <t>CLASSEMENT GROUPE ROUGE</t>
  </si>
  <si>
    <t>Rang</t>
  </si>
  <si>
    <t>Dom.</t>
  </si>
  <si>
    <t>Ext.</t>
  </si>
  <si>
    <t>%</t>
  </si>
  <si>
    <t>R</t>
  </si>
  <si>
    <t>GROUPE JAUNE</t>
  </si>
  <si>
    <t>CLASSEMENT GROUPE JAUNE</t>
  </si>
  <si>
    <t>PHASE FINALE</t>
  </si>
  <si>
    <t>PLACES 9 ET 10</t>
  </si>
  <si>
    <t>PLACES 7 ET 8</t>
  </si>
  <si>
    <t>PLACES 5 ET 6</t>
  </si>
  <si>
    <t>PLACES 3 ET 4</t>
  </si>
  <si>
    <t>3(4)</t>
  </si>
  <si>
    <t>3(5)</t>
  </si>
  <si>
    <t>FINALE</t>
  </si>
  <si>
    <t>Rouge</t>
  </si>
  <si>
    <t>Jaune</t>
  </si>
  <si>
    <t>Groupes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</si>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</sst>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[$-F800]dddd\,\ mmmm\ dd\,\ yyyy"/>
    <numFmt numFmtId="167" formatCode="hh&quot;h&quot;:mm;@"/>
    <numFmt numFmtId="168" formatCode="0.0000000"/>
    <numFmt numFmtId="169" formatCode="0_ ;[Red]\-0\ 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168" fontId="3" fillId="0" borderId="43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 textRotation="90"/>
    </xf>
    <xf numFmtId="168" fontId="3" fillId="0" borderId="44" xfId="0" applyNumberFormat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69" fontId="0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9" fontId="0" fillId="0" borderId="14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169" fontId="0" fillId="0" borderId="20" xfId="0" applyNumberFormat="1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8" fillId="0" borderId="15" xfId="0" applyFont="1" applyBorder="1" applyAlignment="1">
      <alignment horizontal="right" vertical="center"/>
    </xf>
    <xf numFmtId="0" fontId="8" fillId="0" borderId="17" xfId="0" applyFont="1" applyBorder="1" applyAlignment="1">
      <alignment horizontal="left" vertical="center"/>
    </xf>
    <xf numFmtId="0" fontId="8" fillId="0" borderId="53" xfId="0" applyFont="1" applyBorder="1" applyAlignment="1">
      <alignment horizontal="right" vertical="center"/>
    </xf>
    <xf numFmtId="0" fontId="8" fillId="0" borderId="54" xfId="0" applyFont="1" applyBorder="1" applyAlignment="1">
      <alignment horizontal="left" vertical="center"/>
    </xf>
    <xf numFmtId="0" fontId="8" fillId="0" borderId="55" xfId="0" applyFont="1" applyBorder="1" applyAlignment="1">
      <alignment horizontal="right" vertical="center"/>
    </xf>
    <xf numFmtId="0" fontId="8" fillId="0" borderId="56" xfId="0" applyFont="1" applyBorder="1" applyAlignment="1">
      <alignment horizontal="left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0" fontId="0" fillId="4" borderId="0" xfId="0" applyFill="1"/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25" xfId="0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57" xfId="0" applyFont="1" applyBorder="1" applyAlignment="1" applyProtection="1">
      <alignment horizontal="center" vertical="center"/>
      <protection locked="0"/>
    </xf>
    <xf numFmtId="0" fontId="13" fillId="0" borderId="24" xfId="0" applyFont="1" applyBorder="1" applyAlignment="1" applyProtection="1">
      <alignment horizontal="center" vertical="center"/>
      <protection locked="0"/>
    </xf>
    <xf numFmtId="0" fontId="13" fillId="0" borderId="46" xfId="0" applyFont="1" applyBorder="1" applyAlignment="1" applyProtection="1">
      <alignment horizontal="center" vertical="center"/>
      <protection locked="0"/>
    </xf>
    <xf numFmtId="0" fontId="13" fillId="0" borderId="58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right" vertical="center"/>
      <protection locked="0"/>
    </xf>
    <xf numFmtId="0" fontId="8" fillId="0" borderId="40" xfId="0" applyFont="1" applyBorder="1" applyAlignment="1" applyProtection="1">
      <alignment horizontal="left" vertical="center"/>
      <protection locked="0"/>
    </xf>
    <xf numFmtId="165" fontId="7" fillId="0" borderId="37" xfId="0" applyNumberFormat="1" applyFont="1" applyBorder="1" applyAlignment="1" applyProtection="1">
      <alignment horizontal="center" vertical="center"/>
      <protection locked="0"/>
    </xf>
    <xf numFmtId="167" fontId="7" fillId="0" borderId="32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8" fillId="0" borderId="41" xfId="0" applyFont="1" applyBorder="1" applyAlignment="1" applyProtection="1">
      <alignment horizontal="left" vertical="center"/>
      <protection locked="0"/>
    </xf>
    <xf numFmtId="165" fontId="7" fillId="0" borderId="38" xfId="0" applyNumberFormat="1" applyFont="1" applyBorder="1" applyAlignment="1" applyProtection="1">
      <alignment horizontal="center" vertical="center"/>
      <protection locked="0"/>
    </xf>
    <xf numFmtId="167" fontId="7" fillId="0" borderId="33" xfId="0" applyNumberFormat="1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right" vertical="center"/>
      <protection locked="0"/>
    </xf>
    <xf numFmtId="0" fontId="13" fillId="0" borderId="27" xfId="0" applyFont="1" applyBorder="1" applyAlignment="1" applyProtection="1">
      <alignment horizontal="center" vertical="center"/>
      <protection locked="0"/>
    </xf>
    <xf numFmtId="0" fontId="8" fillId="0" borderId="42" xfId="0" applyFont="1" applyBorder="1" applyAlignment="1" applyProtection="1">
      <alignment horizontal="left" vertical="center"/>
      <protection locked="0"/>
    </xf>
    <xf numFmtId="165" fontId="7" fillId="0" borderId="39" xfId="0" applyNumberFormat="1" applyFont="1" applyBorder="1" applyAlignment="1" applyProtection="1">
      <alignment horizontal="center" vertical="center"/>
      <protection locked="0"/>
    </xf>
    <xf numFmtId="167" fontId="7" fillId="0" borderId="34" xfId="0" applyNumberFormat="1" applyFont="1" applyBorder="1" applyAlignment="1" applyProtection="1">
      <alignment horizontal="center" vertical="center"/>
      <protection locked="0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CAF12-5598-44ED-A7F2-9E01CC964E28}">
  <sheetPr>
    <tabColor rgb="FF00B050"/>
  </sheetPr>
  <dimension ref="A1:R12"/>
  <sheetViews>
    <sheetView tabSelected="1" workbookViewId="0">
      <selection activeCell="A2" sqref="A2"/>
    </sheetView>
  </sheetViews>
  <sheetFormatPr baseColWidth="10" defaultRowHeight="15" x14ac:dyDescent="0.25"/>
  <cols>
    <col min="1" max="1" width="20.7109375" style="3" customWidth="1"/>
    <col min="2" max="2" width="0" style="2" hidden="1" customWidth="1"/>
    <col min="3" max="3" width="20.7109375" style="3" customWidth="1"/>
    <col min="4" max="18" width="11.42578125" style="2"/>
  </cols>
  <sheetData>
    <row r="1" spans="1:2" ht="15.75" thickBot="1" x14ac:dyDescent="0.3">
      <c r="A1" s="6" t="s">
        <v>0</v>
      </c>
    </row>
    <row r="2" spans="1:2" x14ac:dyDescent="0.25">
      <c r="A2" s="10" t="s">
        <v>4</v>
      </c>
      <c r="B2" s="2" t="s">
        <v>42</v>
      </c>
    </row>
    <row r="3" spans="1:2" x14ac:dyDescent="0.25">
      <c r="A3" s="11" t="s">
        <v>3</v>
      </c>
      <c r="B3" s="2" t="s">
        <v>42</v>
      </c>
    </row>
    <row r="4" spans="1:2" x14ac:dyDescent="0.25">
      <c r="A4" s="11" t="s">
        <v>7</v>
      </c>
      <c r="B4" s="2" t="s">
        <v>42</v>
      </c>
    </row>
    <row r="5" spans="1:2" x14ac:dyDescent="0.25">
      <c r="A5" s="11" t="s">
        <v>2</v>
      </c>
      <c r="B5" s="2" t="s">
        <v>42</v>
      </c>
    </row>
    <row r="6" spans="1:2" ht="15.75" thickBot="1" x14ac:dyDescent="0.3">
      <c r="A6" s="12" t="s">
        <v>16</v>
      </c>
      <c r="B6" s="2" t="s">
        <v>42</v>
      </c>
    </row>
    <row r="7" spans="1:2" ht="15.75" thickBot="1" x14ac:dyDescent="0.3">
      <c r="A7" s="4" t="s">
        <v>1</v>
      </c>
    </row>
    <row r="8" spans="1:2" x14ac:dyDescent="0.25">
      <c r="A8" s="7" t="s">
        <v>10</v>
      </c>
      <c r="B8" s="2" t="s">
        <v>43</v>
      </c>
    </row>
    <row r="9" spans="1:2" x14ac:dyDescent="0.25">
      <c r="A9" s="8" t="s">
        <v>8</v>
      </c>
      <c r="B9" s="2" t="s">
        <v>43</v>
      </c>
    </row>
    <row r="10" spans="1:2" x14ac:dyDescent="0.25">
      <c r="A10" s="8" t="s">
        <v>9</v>
      </c>
      <c r="B10" s="2" t="s">
        <v>43</v>
      </c>
    </row>
    <row r="11" spans="1:2" x14ac:dyDescent="0.25">
      <c r="A11" s="8" t="s">
        <v>5</v>
      </c>
      <c r="B11" s="2" t="s">
        <v>43</v>
      </c>
    </row>
    <row r="12" spans="1:2" ht="15.75" thickBot="1" x14ac:dyDescent="0.3">
      <c r="A12" s="9" t="s">
        <v>6</v>
      </c>
      <c r="B12" s="2" t="s">
        <v>43</v>
      </c>
    </row>
  </sheetData>
  <sortState ref="A2:A6">
    <sortCondition ref="A2:A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CE213-C492-4630-B947-248DA2006CBB}">
  <sheetPr>
    <tabColor rgb="FF0000FF"/>
  </sheetPr>
  <dimension ref="A1:DB56"/>
  <sheetViews>
    <sheetView workbookViewId="0">
      <selection activeCell="A4" sqref="A4"/>
    </sheetView>
  </sheetViews>
  <sheetFormatPr baseColWidth="10" defaultRowHeight="15" x14ac:dyDescent="0.25"/>
  <cols>
    <col min="1" max="1" width="25.7109375" style="2" customWidth="1"/>
    <col min="2" max="3" width="5.7109375" style="2" customWidth="1"/>
    <col min="4" max="4" width="25.7109375" style="2" customWidth="1"/>
    <col min="5" max="5" width="21.7109375" style="2" customWidth="1"/>
    <col min="6" max="6" width="11.42578125" style="2" customWidth="1"/>
    <col min="7" max="7" width="2.7109375" style="2" customWidth="1"/>
    <col min="8" max="8" width="5.7109375" style="2" bestFit="1" customWidth="1"/>
    <col min="9" max="9" width="25.7109375" style="2" customWidth="1"/>
    <col min="10" max="17" width="5.7109375" style="2" customWidth="1"/>
    <col min="18" max="19" width="5.7109375" style="2" hidden="1" customWidth="1"/>
    <col min="20" max="20" width="25.7109375" style="2" hidden="1" customWidth="1"/>
    <col min="21" max="30" width="5.7109375" style="2" hidden="1" customWidth="1"/>
    <col min="31" max="32" width="15.7109375" style="2" hidden="1" customWidth="1"/>
    <col min="33" max="46" width="5.7109375" style="2" hidden="1" customWidth="1"/>
    <col min="47" max="47" width="25.7109375" style="3" hidden="1" customWidth="1"/>
    <col min="48" max="48" width="15.7109375" style="2" hidden="1" customWidth="1"/>
    <col min="49" max="49" width="5.7109375" style="2" hidden="1" customWidth="1"/>
    <col min="50" max="50" width="25.7109375" style="3" hidden="1" customWidth="1"/>
    <col min="51" max="106" width="11.42578125" style="2"/>
  </cols>
  <sheetData>
    <row r="1" spans="1:70" ht="15" customHeight="1" x14ac:dyDescent="0.25">
      <c r="A1" s="23" t="s">
        <v>15</v>
      </c>
      <c r="B1" s="24"/>
      <c r="C1" s="24"/>
      <c r="D1" s="24"/>
      <c r="E1" s="24"/>
      <c r="F1" s="25"/>
      <c r="G1" s="61"/>
      <c r="H1" s="23" t="s">
        <v>26</v>
      </c>
      <c r="I1" s="24"/>
      <c r="J1" s="24"/>
      <c r="K1" s="24"/>
      <c r="L1" s="24"/>
      <c r="M1" s="24"/>
      <c r="N1" s="24"/>
      <c r="O1" s="24"/>
      <c r="P1" s="24"/>
      <c r="Q1" s="25"/>
      <c r="R1" s="5"/>
      <c r="S1" s="41"/>
      <c r="T1" s="45" t="s">
        <v>26</v>
      </c>
      <c r="U1" s="46"/>
      <c r="V1" s="46"/>
      <c r="W1" s="46"/>
      <c r="X1" s="46"/>
      <c r="Y1" s="46"/>
      <c r="Z1" s="46"/>
      <c r="AA1" s="46"/>
      <c r="AB1" s="46"/>
      <c r="AC1" s="46"/>
      <c r="AD1" s="47"/>
      <c r="AE1" s="40"/>
      <c r="AF1" s="41"/>
      <c r="AG1" s="37" t="s">
        <v>28</v>
      </c>
      <c r="AH1" s="37" t="s">
        <v>29</v>
      </c>
      <c r="AI1" s="37" t="s">
        <v>28</v>
      </c>
      <c r="AJ1" s="37" t="s">
        <v>29</v>
      </c>
      <c r="AK1" s="37" t="s">
        <v>28</v>
      </c>
      <c r="AL1" s="37" t="s">
        <v>29</v>
      </c>
      <c r="AM1" s="37" t="s">
        <v>28</v>
      </c>
      <c r="AN1" s="37" t="s">
        <v>29</v>
      </c>
      <c r="AO1" s="37" t="s">
        <v>28</v>
      </c>
      <c r="AP1" s="37" t="s">
        <v>29</v>
      </c>
      <c r="AQ1" s="37" t="s">
        <v>28</v>
      </c>
      <c r="AR1" s="37" t="s">
        <v>29</v>
      </c>
      <c r="AS1" s="37" t="s">
        <v>28</v>
      </c>
      <c r="AT1" s="37" t="s">
        <v>29</v>
      </c>
      <c r="AU1" s="40"/>
      <c r="AV1" s="5"/>
      <c r="AW1" s="5"/>
      <c r="AX1" s="5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</row>
    <row r="2" spans="1:70" ht="15.75" customHeight="1" thickBot="1" x14ac:dyDescent="0.3">
      <c r="A2" s="26"/>
      <c r="B2" s="27"/>
      <c r="C2" s="27"/>
      <c r="D2" s="27"/>
      <c r="E2" s="27"/>
      <c r="F2" s="28"/>
      <c r="G2" s="61"/>
      <c r="H2" s="26"/>
      <c r="I2" s="27"/>
      <c r="J2" s="27"/>
      <c r="K2" s="27"/>
      <c r="L2" s="27"/>
      <c r="M2" s="27"/>
      <c r="N2" s="27"/>
      <c r="O2" s="27"/>
      <c r="P2" s="27"/>
      <c r="Q2" s="28"/>
      <c r="R2" s="44"/>
      <c r="S2" s="43"/>
      <c r="T2" s="48"/>
      <c r="U2" s="49"/>
      <c r="V2" s="49"/>
      <c r="W2" s="49"/>
      <c r="X2" s="49"/>
      <c r="Y2" s="49"/>
      <c r="Z2" s="49"/>
      <c r="AA2" s="49"/>
      <c r="AB2" s="49"/>
      <c r="AC2" s="49"/>
      <c r="AD2" s="50"/>
      <c r="AE2" s="42"/>
      <c r="AF2" s="43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42"/>
      <c r="AV2" s="44"/>
      <c r="AW2" s="44"/>
      <c r="AX2" s="44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</row>
    <row r="3" spans="1:70" ht="15.75" thickBot="1" x14ac:dyDescent="0.3">
      <c r="A3" s="19" t="s">
        <v>11</v>
      </c>
      <c r="B3" s="20" t="s">
        <v>12</v>
      </c>
      <c r="C3" s="20"/>
      <c r="D3" s="31" t="s">
        <v>11</v>
      </c>
      <c r="E3" s="30" t="s">
        <v>14</v>
      </c>
      <c r="F3" s="29" t="s">
        <v>13</v>
      </c>
      <c r="G3" s="61"/>
      <c r="H3" s="19" t="s">
        <v>17</v>
      </c>
      <c r="I3" s="21" t="s">
        <v>11</v>
      </c>
      <c r="J3" s="21" t="s">
        <v>18</v>
      </c>
      <c r="K3" s="21" t="s">
        <v>19</v>
      </c>
      <c r="L3" s="21" t="s">
        <v>20</v>
      </c>
      <c r="M3" s="21" t="s">
        <v>21</v>
      </c>
      <c r="N3" s="21" t="s">
        <v>22</v>
      </c>
      <c r="O3" s="21" t="s">
        <v>23</v>
      </c>
      <c r="P3" s="21" t="s">
        <v>24</v>
      </c>
      <c r="Q3" s="22" t="s">
        <v>25</v>
      </c>
      <c r="R3" s="51" t="s">
        <v>27</v>
      </c>
      <c r="S3" s="39"/>
      <c r="T3" s="32" t="s">
        <v>11</v>
      </c>
      <c r="U3" s="32" t="s">
        <v>27</v>
      </c>
      <c r="V3" s="32" t="s">
        <v>17</v>
      </c>
      <c r="W3" s="32" t="s">
        <v>18</v>
      </c>
      <c r="X3" s="32" t="s">
        <v>19</v>
      </c>
      <c r="Y3" s="32" t="s">
        <v>20</v>
      </c>
      <c r="Z3" s="32" t="s">
        <v>21</v>
      </c>
      <c r="AA3" s="32" t="s">
        <v>22</v>
      </c>
      <c r="AB3" s="32" t="s">
        <v>23</v>
      </c>
      <c r="AC3" s="32" t="s">
        <v>24</v>
      </c>
      <c r="AD3" s="32" t="s">
        <v>25</v>
      </c>
      <c r="AE3" s="35" t="s">
        <v>27</v>
      </c>
      <c r="AF3" s="32" t="s">
        <v>17</v>
      </c>
      <c r="AG3" s="32" t="s">
        <v>18</v>
      </c>
      <c r="AH3" s="32" t="s">
        <v>18</v>
      </c>
      <c r="AI3" s="32" t="s">
        <v>19</v>
      </c>
      <c r="AJ3" s="32" t="s">
        <v>19</v>
      </c>
      <c r="AK3" s="32" t="s">
        <v>20</v>
      </c>
      <c r="AL3" s="32" t="s">
        <v>20</v>
      </c>
      <c r="AM3" s="32" t="s">
        <v>21</v>
      </c>
      <c r="AN3" s="32" t="s">
        <v>21</v>
      </c>
      <c r="AO3" s="32" t="s">
        <v>22</v>
      </c>
      <c r="AP3" s="32" t="s">
        <v>22</v>
      </c>
      <c r="AQ3" s="32" t="s">
        <v>23</v>
      </c>
      <c r="AR3" s="32" t="s">
        <v>23</v>
      </c>
      <c r="AS3" s="32" t="s">
        <v>24</v>
      </c>
      <c r="AT3" s="32" t="s">
        <v>24</v>
      </c>
      <c r="AU3" s="35" t="s">
        <v>11</v>
      </c>
      <c r="AV3" s="32" t="s">
        <v>30</v>
      </c>
      <c r="AW3" s="32" t="s">
        <v>31</v>
      </c>
      <c r="AX3" s="32" t="s">
        <v>11</v>
      </c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</row>
    <row r="4" spans="1:70" x14ac:dyDescent="0.25">
      <c r="A4" s="104" t="s">
        <v>2</v>
      </c>
      <c r="B4" s="95">
        <v>2</v>
      </c>
      <c r="C4" s="96">
        <v>1</v>
      </c>
      <c r="D4" s="105" t="s">
        <v>3</v>
      </c>
      <c r="E4" s="106"/>
      <c r="F4" s="107"/>
      <c r="G4" s="61"/>
      <c r="H4" s="58">
        <v>1</v>
      </c>
      <c r="I4" s="18" t="str">
        <f>VLOOKUP(R4,S4:T8,2,0)</f>
        <v>Rousset 1</v>
      </c>
      <c r="J4" s="59">
        <f>VLOOKUP(I4,T4:AD8,4,0)</f>
        <v>16</v>
      </c>
      <c r="K4" s="59">
        <f>VLOOKUP(I4,T4:AD8,5,0)</f>
        <v>4</v>
      </c>
      <c r="L4" s="59">
        <f>VLOOKUP(I4,T4:AD8,6,0)</f>
        <v>4</v>
      </c>
      <c r="M4" s="59">
        <f>VLOOKUP(I4,T4:AD8,7,0)</f>
        <v>0</v>
      </c>
      <c r="N4" s="59">
        <f>VLOOKUP(I4,T4:AD8,8,0)</f>
        <v>0</v>
      </c>
      <c r="O4" s="59">
        <f>VLOOKUP(I4,T4:AD8,9,0)</f>
        <v>11</v>
      </c>
      <c r="P4" s="59">
        <f>VLOOKUP(I4,T4:AD8,10,0)</f>
        <v>5</v>
      </c>
      <c r="Q4" s="60">
        <f>VLOOKUP(I4,T4:AD8,11,0)</f>
        <v>6</v>
      </c>
      <c r="R4" s="35">
        <v>1</v>
      </c>
      <c r="S4" s="32">
        <f>V4</f>
        <v>5</v>
      </c>
      <c r="T4" s="33" t="str">
        <f>Equipes!A2</f>
        <v>Alliance Nord Aix 2</v>
      </c>
      <c r="U4" s="32">
        <f>RANK(AE4,AE4:AE8)</f>
        <v>5</v>
      </c>
      <c r="V4" s="32">
        <f>RANK(AF4,AF4:AF8)</f>
        <v>5</v>
      </c>
      <c r="W4" s="32">
        <f>SUMPRODUCT((A4:A13=T4)*(AG4:AG13))+SUMPRODUCT((D4:D13=T4)*(AH4:AH13))</f>
        <v>5</v>
      </c>
      <c r="X4" s="32">
        <f>SUMPRODUCT((A4:A13=T4)*(AI4:AI13))+SUMPRODUCT((D4:D13=T4)*(AJ4:AJ13))</f>
        <v>4</v>
      </c>
      <c r="Y4" s="32">
        <f>SUMPRODUCT((A4:A13=T4)*(AK4:AK13))+SUMPRODUCT((D4:D13=T4)*(AL4:AL13))</f>
        <v>0</v>
      </c>
      <c r="Z4" s="32">
        <f>SUMPRODUCT((A4:A13=T4)*(AM4:AM13))+SUMPRODUCT((D4:D13=T4)*(AN4:AN13))</f>
        <v>1</v>
      </c>
      <c r="AA4" s="32">
        <f>SUMPRODUCT((A4:A13=T4)*(AO4:AO13))+SUMPRODUCT((D4:D13=T4)*(AP4:AP13))</f>
        <v>3</v>
      </c>
      <c r="AB4" s="32">
        <f>SUMPRODUCT((A4:A13=T4)*(AQ4:AQ13))+SUMPRODUCT((D4:D13=T4)*(AR4:AR13))</f>
        <v>6</v>
      </c>
      <c r="AC4" s="32">
        <f>SUMPRODUCT((A4:A13=T4)*(AS4:AS13))+SUMPRODUCT((D4:D13=T4)*(AT4:AT13))</f>
        <v>10</v>
      </c>
      <c r="AD4" s="32">
        <f>AB4-AC4</f>
        <v>-4</v>
      </c>
      <c r="AE4" s="38">
        <f>SUM(W4*1000+(AD4)/100+(AB4)/1000)</f>
        <v>4999.9660000000003</v>
      </c>
      <c r="AF4" s="34">
        <f>AE4+0.0000005</f>
        <v>4999.9660005000005</v>
      </c>
      <c r="AG4" s="32">
        <f>IF(B4="",0,IF(B4&gt;C4,4,IF(B4=C4,2,IF(B4&lt;C4,1))))</f>
        <v>4</v>
      </c>
      <c r="AH4" s="32">
        <f>IF(C4="",0,IF(C4&gt;B4,4,IF(C4=B4,2,IF(C4&lt;B4,1))))</f>
        <v>1</v>
      </c>
      <c r="AI4" s="32">
        <f>IF(B4="",0,1)</f>
        <v>1</v>
      </c>
      <c r="AJ4" s="32">
        <f>IF(C4="",0,1)</f>
        <v>1</v>
      </c>
      <c r="AK4" s="32">
        <f>IF(B4&lt;&gt;"",IF(B4&gt;C4,1))</f>
        <v>1</v>
      </c>
      <c r="AL4" s="32" t="b">
        <f>IF(C4&lt;&gt;"",IF(C4&gt;B4,1))</f>
        <v>0</v>
      </c>
      <c r="AM4" s="32" t="b">
        <f>IF(B4&lt;&gt;"",IF(B4=C4,1))</f>
        <v>0</v>
      </c>
      <c r="AN4" s="32" t="b">
        <f>IF(C4&lt;&gt;"",IF(C4=B4,1))</f>
        <v>0</v>
      </c>
      <c r="AO4" s="32" t="b">
        <f>IF(B4&lt;&gt;"",IF(B4&lt;C4,1))</f>
        <v>0</v>
      </c>
      <c r="AP4" s="32">
        <f>IF(C4&lt;&gt;"",IF(C4&lt;B4,1))</f>
        <v>1</v>
      </c>
      <c r="AQ4" s="32">
        <f>B4</f>
        <v>2</v>
      </c>
      <c r="AR4" s="32">
        <f>C4</f>
        <v>1</v>
      </c>
      <c r="AS4" s="32">
        <f>C4</f>
        <v>1</v>
      </c>
      <c r="AT4" s="32">
        <f>B4</f>
        <v>2</v>
      </c>
      <c r="AU4" s="36" t="str">
        <f>VLOOKUP(R4,S4:T8,2,0)</f>
        <v>Rousset 1</v>
      </c>
      <c r="AV4" s="34">
        <f>VLOOKUP(AU4,T4:AE8,12,0)</f>
        <v>16000.071</v>
      </c>
      <c r="AW4" s="32">
        <f>RANK(AV4,AV4:AV8)</f>
        <v>1</v>
      </c>
      <c r="AX4" s="33" t="str">
        <f>T4</f>
        <v>Alliance Nord Aix 2</v>
      </c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</row>
    <row r="5" spans="1:70" x14ac:dyDescent="0.25">
      <c r="A5" s="108" t="s">
        <v>7</v>
      </c>
      <c r="B5" s="97">
        <v>3</v>
      </c>
      <c r="C5" s="98">
        <v>2</v>
      </c>
      <c r="D5" s="109" t="s">
        <v>4</v>
      </c>
      <c r="E5" s="110"/>
      <c r="F5" s="111"/>
      <c r="G5" s="61"/>
      <c r="H5" s="52">
        <f>IF(AV5=AV4,AW4,AW5)</f>
        <v>2</v>
      </c>
      <c r="I5" s="15" t="str">
        <f>VLOOKUP(R5,S4:T8,2,0)</f>
        <v>Rousset 3</v>
      </c>
      <c r="J5" s="53">
        <f>VLOOKUP(I5,T4:AD8,4,0)</f>
        <v>13</v>
      </c>
      <c r="K5" s="53">
        <f>VLOOKUP(I5,T4:AD8,5,0)</f>
        <v>4</v>
      </c>
      <c r="L5" s="53">
        <f>VLOOKUP(I5,T4:AD8,6,0)</f>
        <v>3</v>
      </c>
      <c r="M5" s="53">
        <f>VLOOKUP(I5,T4:AD8,7,0)</f>
        <v>0</v>
      </c>
      <c r="N5" s="53">
        <f>VLOOKUP(I5,T4:AD8,8,0)</f>
        <v>1</v>
      </c>
      <c r="O5" s="53">
        <f>VLOOKUP(I5,T4:AD8,9,0)</f>
        <v>11</v>
      </c>
      <c r="P5" s="53">
        <f>VLOOKUP(I5,T4:AD8,10,0)</f>
        <v>6</v>
      </c>
      <c r="Q5" s="54">
        <f>VLOOKUP(I5,T4:AD8,11,0)</f>
        <v>5</v>
      </c>
      <c r="R5" s="35">
        <v>2</v>
      </c>
      <c r="S5" s="32">
        <f t="shared" ref="S5:S8" si="0">V5</f>
        <v>4</v>
      </c>
      <c r="T5" s="33" t="str">
        <f>Equipes!A3</f>
        <v>EMH Allauh</v>
      </c>
      <c r="U5" s="32">
        <f>RANK(AE5,AE4:AE8)</f>
        <v>4</v>
      </c>
      <c r="V5" s="32">
        <f>RANK(AF5,AF4:AF8)</f>
        <v>4</v>
      </c>
      <c r="W5" s="32">
        <f>SUMPRODUCT((A4:A13=T5)*(AG4:AG13))+SUMPRODUCT((D4:D13=T5)*(AH4:AH13))</f>
        <v>6</v>
      </c>
      <c r="X5" s="32">
        <f>SUMPRODUCT((A4:A13=T5)*(AI4:AI13))+SUMPRODUCT((D4:D13=T5)*(AJ4:AJ13))</f>
        <v>4</v>
      </c>
      <c r="Y5" s="32">
        <f>SUMPRODUCT((A4:A13=T5)*(AK4:AK13))+SUMPRODUCT((D4:D13=T5)*(AL4:AL13))</f>
        <v>0</v>
      </c>
      <c r="Z5" s="32">
        <f>SUMPRODUCT((A4:A13=T5)*(AM4:AM13))+SUMPRODUCT((D4:D13=T5)*(AN4:AN13))</f>
        <v>2</v>
      </c>
      <c r="AA5" s="32">
        <f>SUMPRODUCT((A4:A13=T5)*(AO4:AO13))+SUMPRODUCT((D4:D13=T5)*(AP4:AP13))</f>
        <v>2</v>
      </c>
      <c r="AB5" s="32">
        <f>SUMPRODUCT((A4:A13=T5)*(AQ4:AQ13))+SUMPRODUCT((D4:D13=T5)*(AR4:AR13))</f>
        <v>4</v>
      </c>
      <c r="AC5" s="32">
        <f>SUMPRODUCT((A4:A13=T5)*(AS4:AS13))+SUMPRODUCT((D4:D13=T5)*(AT4:AT13))</f>
        <v>9</v>
      </c>
      <c r="AD5" s="32">
        <f t="shared" ref="AD5:AD8" si="1">AB5-AC5</f>
        <v>-5</v>
      </c>
      <c r="AE5" s="38">
        <f t="shared" ref="AE5:AE8" si="2">SUM(W5*1000+(AD5)/100+(AB5)/1000)</f>
        <v>5999.9539999999997</v>
      </c>
      <c r="AF5" s="34">
        <f>AE5+0.0000004</f>
        <v>5999.9540004</v>
      </c>
      <c r="AG5" s="32">
        <f t="shared" ref="AG5:AG13" si="3">IF(B5="",0,IF(B5&gt;C5,4,IF(B5=C5,2,IF(B5&lt;C5,1))))</f>
        <v>4</v>
      </c>
      <c r="AH5" s="32">
        <f t="shared" ref="AH5:AH13" si="4">IF(C5="",0,IF(C5&gt;B5,4,IF(C5=B5,2,IF(C5&lt;B5,1))))</f>
        <v>1</v>
      </c>
      <c r="AI5" s="32">
        <f t="shared" ref="AI5:AI13" si="5">IF(B5="",0,1)</f>
        <v>1</v>
      </c>
      <c r="AJ5" s="32">
        <f t="shared" ref="AJ5:AJ13" si="6">IF(C5="",0,1)</f>
        <v>1</v>
      </c>
      <c r="AK5" s="32">
        <f t="shared" ref="AK5:AK13" si="7">IF(B5&lt;&gt;"",IF(B5&gt;C5,1))</f>
        <v>1</v>
      </c>
      <c r="AL5" s="32" t="b">
        <f t="shared" ref="AL5:AL13" si="8">IF(C5&lt;&gt;"",IF(C5&gt;B5,1))</f>
        <v>0</v>
      </c>
      <c r="AM5" s="32" t="b">
        <f t="shared" ref="AM5:AM13" si="9">IF(B5&lt;&gt;"",IF(B5=C5,1))</f>
        <v>0</v>
      </c>
      <c r="AN5" s="32" t="b">
        <f t="shared" ref="AN5:AN13" si="10">IF(C5&lt;&gt;"",IF(C5=B5,1))</f>
        <v>0</v>
      </c>
      <c r="AO5" s="32" t="b">
        <f t="shared" ref="AO5:AO13" si="11">IF(B5&lt;&gt;"",IF(B5&lt;C5,1))</f>
        <v>0</v>
      </c>
      <c r="AP5" s="32">
        <f t="shared" ref="AP5:AP13" si="12">IF(C5&lt;&gt;"",IF(C5&lt;B5,1))</f>
        <v>1</v>
      </c>
      <c r="AQ5" s="32">
        <f t="shared" ref="AQ5:AQ13" si="13">B5</f>
        <v>3</v>
      </c>
      <c r="AR5" s="32">
        <f t="shared" ref="AR5:AR13" si="14">C5</f>
        <v>2</v>
      </c>
      <c r="AS5" s="32">
        <f t="shared" ref="AS5:AS13" si="15">C5</f>
        <v>2</v>
      </c>
      <c r="AT5" s="32">
        <f t="shared" ref="AT5:AT13" si="16">B5</f>
        <v>3</v>
      </c>
      <c r="AU5" s="36" t="str">
        <f>VLOOKUP(R5,S4:T8,2,0)</f>
        <v>Rousset 3</v>
      </c>
      <c r="AV5" s="34">
        <f>VLOOKUP(AU5,T4:AE8,12,0)</f>
        <v>13000.061</v>
      </c>
      <c r="AW5" s="32">
        <f>RANK(AV5,AV4:AV8)</f>
        <v>2</v>
      </c>
      <c r="AX5" s="33" t="str">
        <f t="shared" ref="AX5:AX8" si="17">T5</f>
        <v>EMH Allauh</v>
      </c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</row>
    <row r="6" spans="1:70" x14ac:dyDescent="0.25">
      <c r="A6" s="108" t="s">
        <v>16</v>
      </c>
      <c r="B6" s="97">
        <v>1</v>
      </c>
      <c r="C6" s="98">
        <v>2</v>
      </c>
      <c r="D6" s="109" t="s">
        <v>2</v>
      </c>
      <c r="E6" s="110">
        <v>43434</v>
      </c>
      <c r="F6" s="111">
        <v>0.625</v>
      </c>
      <c r="G6" s="61"/>
      <c r="H6" s="52">
        <f t="shared" ref="H6:H8" si="18">IF(AV6=AV5,AW5,AW6)</f>
        <v>3</v>
      </c>
      <c r="I6" s="15" t="str">
        <f>VLOOKUP(R6,S4:T8,2,0)</f>
        <v>FC Pourrière</v>
      </c>
      <c r="J6" s="53">
        <f>VLOOKUP(I6,T4:AD8,4,0)</f>
        <v>8</v>
      </c>
      <c r="K6" s="53">
        <f>VLOOKUP(I6,T4:AD8,5,0)</f>
        <v>4</v>
      </c>
      <c r="L6" s="53">
        <f>VLOOKUP(I6,T4:AD8,6,0)</f>
        <v>1</v>
      </c>
      <c r="M6" s="53">
        <f>VLOOKUP(I6,T4:AD8,7,0)</f>
        <v>1</v>
      </c>
      <c r="N6" s="53">
        <f>VLOOKUP(I6,T4:AD8,8,0)</f>
        <v>2</v>
      </c>
      <c r="O6" s="53">
        <f>VLOOKUP(I6,T4:AD8,9,0)</f>
        <v>7</v>
      </c>
      <c r="P6" s="53">
        <f>VLOOKUP(I6,T4:AD8,10,0)</f>
        <v>9</v>
      </c>
      <c r="Q6" s="54">
        <f>VLOOKUP(I6,T4:AD8,11,0)</f>
        <v>-2</v>
      </c>
      <c r="R6" s="35">
        <v>3</v>
      </c>
      <c r="S6" s="32">
        <f t="shared" si="0"/>
        <v>3</v>
      </c>
      <c r="T6" s="33" t="str">
        <f>Equipes!A4</f>
        <v>FC Pourrière</v>
      </c>
      <c r="U6" s="32">
        <f>RANK(AE6,AE4:AE8)</f>
        <v>3</v>
      </c>
      <c r="V6" s="32">
        <f>RANK(AF6,AF4:AF8)</f>
        <v>3</v>
      </c>
      <c r="W6" s="32">
        <f>SUMPRODUCT((A4:A13=T6)*(AG4:AG13))+SUMPRODUCT((D4:D13=T6)*(AH4:AH13))</f>
        <v>8</v>
      </c>
      <c r="X6" s="32">
        <f>SUMPRODUCT((A4:A13=T6)*(AI4:AI13))+SUMPRODUCT((D4:D13=T6)*(AJ4:AJ13))</f>
        <v>4</v>
      </c>
      <c r="Y6" s="32">
        <f>SUMPRODUCT((A4:A13=T6)*(AK4:AK13))+SUMPRODUCT((D4:D13=T6)*(AL4:AL13))</f>
        <v>1</v>
      </c>
      <c r="Z6" s="32">
        <f>SUMPRODUCT((A4:A13=T6)*(AM4:AM13))+SUMPRODUCT((D4:D13=T6)*(AN4:AN13))</f>
        <v>1</v>
      </c>
      <c r="AA6" s="32">
        <f>SUMPRODUCT((A4:A13=T6)*(AO4:AO13))+SUMPRODUCT((D4:D13=T6)*(AP4:AP13))</f>
        <v>2</v>
      </c>
      <c r="AB6" s="32">
        <f>SUMPRODUCT((A4:A13=T6)*(AQ4:AQ13))+SUMPRODUCT((D4:D13=T6)*(AR4:AR13))</f>
        <v>7</v>
      </c>
      <c r="AC6" s="32">
        <f>SUMPRODUCT((A4:A13=T6)*(AS4:AS13))+SUMPRODUCT((D4:D13=T6)*(AT4:AT13))</f>
        <v>9</v>
      </c>
      <c r="AD6" s="32">
        <f t="shared" si="1"/>
        <v>-2</v>
      </c>
      <c r="AE6" s="38">
        <f t="shared" si="2"/>
        <v>7999.9869999999992</v>
      </c>
      <c r="AF6" s="34">
        <f>AE6+0.0000003</f>
        <v>7999.9870002999987</v>
      </c>
      <c r="AG6" s="32">
        <f t="shared" si="3"/>
        <v>1</v>
      </c>
      <c r="AH6" s="32">
        <f t="shared" si="4"/>
        <v>4</v>
      </c>
      <c r="AI6" s="32">
        <f t="shared" si="5"/>
        <v>1</v>
      </c>
      <c r="AJ6" s="32">
        <f t="shared" si="6"/>
        <v>1</v>
      </c>
      <c r="AK6" s="32" t="b">
        <f t="shared" si="7"/>
        <v>0</v>
      </c>
      <c r="AL6" s="32">
        <f t="shared" si="8"/>
        <v>1</v>
      </c>
      <c r="AM6" s="32" t="b">
        <f t="shared" si="9"/>
        <v>0</v>
      </c>
      <c r="AN6" s="32" t="b">
        <f t="shared" si="10"/>
        <v>0</v>
      </c>
      <c r="AO6" s="32">
        <f t="shared" si="11"/>
        <v>1</v>
      </c>
      <c r="AP6" s="32" t="b">
        <f t="shared" si="12"/>
        <v>0</v>
      </c>
      <c r="AQ6" s="32">
        <f t="shared" si="13"/>
        <v>1</v>
      </c>
      <c r="AR6" s="32">
        <f t="shared" si="14"/>
        <v>2</v>
      </c>
      <c r="AS6" s="32">
        <f t="shared" si="15"/>
        <v>2</v>
      </c>
      <c r="AT6" s="32">
        <f t="shared" si="16"/>
        <v>1</v>
      </c>
      <c r="AU6" s="36" t="str">
        <f>VLOOKUP(R6,S4:T8,2,0)</f>
        <v>FC Pourrière</v>
      </c>
      <c r="AV6" s="34">
        <f>VLOOKUP(AU6,T4:AE8,12,0)</f>
        <v>7999.9869999999992</v>
      </c>
      <c r="AW6" s="32">
        <f>RANK(AV6,AV4:AV8)</f>
        <v>3</v>
      </c>
      <c r="AX6" s="33" t="str">
        <f t="shared" si="17"/>
        <v>FC Pourrière</v>
      </c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</row>
    <row r="7" spans="1:70" x14ac:dyDescent="0.25">
      <c r="A7" s="108" t="s">
        <v>3</v>
      </c>
      <c r="B7" s="97">
        <v>2</v>
      </c>
      <c r="C7" s="98">
        <v>2</v>
      </c>
      <c r="D7" s="109" t="s">
        <v>7</v>
      </c>
      <c r="E7" s="110"/>
      <c r="F7" s="111"/>
      <c r="G7" s="61"/>
      <c r="H7" s="52">
        <f t="shared" si="18"/>
        <v>4</v>
      </c>
      <c r="I7" s="15" t="str">
        <f>VLOOKUP(R7,S4:T8,2,0)</f>
        <v>EMH Allauh</v>
      </c>
      <c r="J7" s="53">
        <f>VLOOKUP(I7,T4:AD8,4,0)</f>
        <v>6</v>
      </c>
      <c r="K7" s="53">
        <f>VLOOKUP(I7,T4:AD8,5,0)</f>
        <v>4</v>
      </c>
      <c r="L7" s="53">
        <f>VLOOKUP(I7,T4:AD8,6,0)</f>
        <v>0</v>
      </c>
      <c r="M7" s="53">
        <f>VLOOKUP(I7,T4:AD8,7,0)</f>
        <v>2</v>
      </c>
      <c r="N7" s="53">
        <f>VLOOKUP(I7,T4:AD8,8,0)</f>
        <v>2</v>
      </c>
      <c r="O7" s="53">
        <f>VLOOKUP(I7,T4:AD8,9,0)</f>
        <v>4</v>
      </c>
      <c r="P7" s="53">
        <f>VLOOKUP(I7,T4:AD8,10,0)</f>
        <v>9</v>
      </c>
      <c r="Q7" s="54">
        <f>VLOOKUP(I7,T4:AD8,11,0)</f>
        <v>-5</v>
      </c>
      <c r="R7" s="35">
        <v>4</v>
      </c>
      <c r="S7" s="32">
        <f t="shared" si="0"/>
        <v>1</v>
      </c>
      <c r="T7" s="33" t="str">
        <f>Equipes!A5</f>
        <v>Rousset 1</v>
      </c>
      <c r="U7" s="32">
        <f>RANK(AE7,AE4:AE8)</f>
        <v>1</v>
      </c>
      <c r="V7" s="32">
        <f>RANK(AF7,AF4:AF8)</f>
        <v>1</v>
      </c>
      <c r="W7" s="32">
        <f>SUMPRODUCT((A4:A13=T7)*(AG4:AG13))+SUMPRODUCT((D4:D13=T7)*(AH4:AH13))</f>
        <v>16</v>
      </c>
      <c r="X7" s="32">
        <f>SUMPRODUCT((A4:A13=T7)*(AI4:AI13))+SUMPRODUCT((D4:D13=T7)*(AJ4:AJ13))</f>
        <v>4</v>
      </c>
      <c r="Y7" s="32">
        <f>SUMPRODUCT((A4:A13=T7)*(AK4:AK13))+SUMPRODUCT((D4:D13=T7)*(AL4:AL13))</f>
        <v>4</v>
      </c>
      <c r="Z7" s="32">
        <f>SUMPRODUCT((A4:A13=T7)*(AM4:AM13))+SUMPRODUCT((D4:D13=T7)*(AN4:AN13))</f>
        <v>0</v>
      </c>
      <c r="AA7" s="32">
        <f>SUMPRODUCT((A4:A13=T7)*(AO4:AO13))+SUMPRODUCT((D4:D13=T7)*(AP4:AP13))</f>
        <v>0</v>
      </c>
      <c r="AB7" s="32">
        <f>SUMPRODUCT((A4:A13=T7)*(AQ4:AQ13))+SUMPRODUCT((D4:D13=T7)*(AR4:AR13))</f>
        <v>11</v>
      </c>
      <c r="AC7" s="32">
        <f>SUMPRODUCT((A4:A13=T7)*(AS4:AS13))+SUMPRODUCT((D4:D13=T7)*(AT4:AT13))</f>
        <v>5</v>
      </c>
      <c r="AD7" s="32">
        <f t="shared" si="1"/>
        <v>6</v>
      </c>
      <c r="AE7" s="38">
        <f t="shared" si="2"/>
        <v>16000.071</v>
      </c>
      <c r="AF7" s="34">
        <f>AE7+0.0000002</f>
        <v>16000.0710002</v>
      </c>
      <c r="AG7" s="32">
        <f t="shared" si="3"/>
        <v>2</v>
      </c>
      <c r="AH7" s="32">
        <f t="shared" si="4"/>
        <v>2</v>
      </c>
      <c r="AI7" s="32">
        <f t="shared" si="5"/>
        <v>1</v>
      </c>
      <c r="AJ7" s="32">
        <f t="shared" si="6"/>
        <v>1</v>
      </c>
      <c r="AK7" s="32" t="b">
        <f t="shared" si="7"/>
        <v>0</v>
      </c>
      <c r="AL7" s="32" t="b">
        <f t="shared" si="8"/>
        <v>0</v>
      </c>
      <c r="AM7" s="32">
        <f t="shared" si="9"/>
        <v>1</v>
      </c>
      <c r="AN7" s="32">
        <f t="shared" si="10"/>
        <v>1</v>
      </c>
      <c r="AO7" s="32" t="b">
        <f t="shared" si="11"/>
        <v>0</v>
      </c>
      <c r="AP7" s="32" t="b">
        <f t="shared" si="12"/>
        <v>0</v>
      </c>
      <c r="AQ7" s="32">
        <f t="shared" si="13"/>
        <v>2</v>
      </c>
      <c r="AR7" s="32">
        <f t="shared" si="14"/>
        <v>2</v>
      </c>
      <c r="AS7" s="32">
        <f t="shared" si="15"/>
        <v>2</v>
      </c>
      <c r="AT7" s="32">
        <f t="shared" si="16"/>
        <v>2</v>
      </c>
      <c r="AU7" s="36" t="str">
        <f>VLOOKUP(R7,S4:T8,2,0)</f>
        <v>EMH Allauh</v>
      </c>
      <c r="AV7" s="34">
        <f>VLOOKUP(AU7,T4:AE8,12,0)</f>
        <v>5999.9539999999997</v>
      </c>
      <c r="AW7" s="32">
        <f>RANK(AV7,AV4:AV8)</f>
        <v>4</v>
      </c>
      <c r="AX7" s="33" t="str">
        <f t="shared" si="17"/>
        <v>Rousset 1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</row>
    <row r="8" spans="1:70" ht="15.75" thickBot="1" x14ac:dyDescent="0.3">
      <c r="A8" s="108" t="s">
        <v>4</v>
      </c>
      <c r="B8" s="97">
        <v>2</v>
      </c>
      <c r="C8" s="98">
        <v>3</v>
      </c>
      <c r="D8" s="109" t="s">
        <v>16</v>
      </c>
      <c r="E8" s="110"/>
      <c r="F8" s="111"/>
      <c r="G8" s="61"/>
      <c r="H8" s="55">
        <f t="shared" si="18"/>
        <v>5</v>
      </c>
      <c r="I8" s="16" t="str">
        <f>VLOOKUP(R8,S4:T8,2,0)</f>
        <v>Alliance Nord Aix 2</v>
      </c>
      <c r="J8" s="56">
        <f>VLOOKUP(I8,T4:AD8,4,0)</f>
        <v>5</v>
      </c>
      <c r="K8" s="56">
        <f>VLOOKUP(I8,T4:AD8,5,0)</f>
        <v>4</v>
      </c>
      <c r="L8" s="56">
        <f>VLOOKUP(I8,T4:AD8,6,0)</f>
        <v>0</v>
      </c>
      <c r="M8" s="56">
        <f>VLOOKUP(I8,T4:AD8,7,0)</f>
        <v>1</v>
      </c>
      <c r="N8" s="56">
        <f>VLOOKUP(I8,T4:AD8,8,0)</f>
        <v>3</v>
      </c>
      <c r="O8" s="56">
        <f>VLOOKUP(I8,T4:AD8,9,0)</f>
        <v>6</v>
      </c>
      <c r="P8" s="56">
        <f>VLOOKUP(I8,T4:AD8,10,0)</f>
        <v>10</v>
      </c>
      <c r="Q8" s="57">
        <f>VLOOKUP(I8,T4:AD8,11,0)</f>
        <v>-4</v>
      </c>
      <c r="R8" s="35">
        <v>5</v>
      </c>
      <c r="S8" s="32">
        <f t="shared" si="0"/>
        <v>2</v>
      </c>
      <c r="T8" s="33" t="str">
        <f>Equipes!A6</f>
        <v>Rousset 3</v>
      </c>
      <c r="U8" s="32">
        <f>RANK(AE8,AE4:AE8)</f>
        <v>2</v>
      </c>
      <c r="V8" s="32">
        <f>RANK(AF8,AF4:AF8)</f>
        <v>2</v>
      </c>
      <c r="W8" s="32">
        <f>SUMPRODUCT((A4:A13=T8)*(AG4:AG13))+SUMPRODUCT((D4:D13=T8)*(AH4:AH13))</f>
        <v>13</v>
      </c>
      <c r="X8" s="32">
        <f>SUMPRODUCT((A4:A13=T8)*(AI4:AI13))+SUMPRODUCT((D4:D13=T8)*(AJ4:AJ13))</f>
        <v>4</v>
      </c>
      <c r="Y8" s="32">
        <f>SUMPRODUCT((A4:A13=T8)*(AK4:AK13))+SUMPRODUCT((D4:D13=T8)*(AL4:AL13))</f>
        <v>3</v>
      </c>
      <c r="Z8" s="32">
        <f>SUMPRODUCT((A4:A13=T8)*(AM4:AM13))+SUMPRODUCT((D4:D13=T8)*(AN4:AN13))</f>
        <v>0</v>
      </c>
      <c r="AA8" s="32">
        <f>SUMPRODUCT((A4:A13=T8)*(AO4:AO13))+SUMPRODUCT((D4:D13=T8)*(AP4:AP13))</f>
        <v>1</v>
      </c>
      <c r="AB8" s="32">
        <f>SUMPRODUCT((A4:A13=T8)*(AQ4:AQ13))+SUMPRODUCT((D4:D13=T8)*(AR4:AR13))</f>
        <v>11</v>
      </c>
      <c r="AC8" s="32">
        <f>SUMPRODUCT((A4:A13=T8)*(AS4:AS13))+SUMPRODUCT((D4:D13=T8)*(AT4:AT13))</f>
        <v>6</v>
      </c>
      <c r="AD8" s="32">
        <f t="shared" si="1"/>
        <v>5</v>
      </c>
      <c r="AE8" s="38">
        <f t="shared" si="2"/>
        <v>13000.061</v>
      </c>
      <c r="AF8" s="34">
        <f>AE8+0.0000001</f>
        <v>13000.0610001</v>
      </c>
      <c r="AG8" s="32">
        <f t="shared" si="3"/>
        <v>1</v>
      </c>
      <c r="AH8" s="32">
        <f t="shared" si="4"/>
        <v>4</v>
      </c>
      <c r="AI8" s="32">
        <f t="shared" si="5"/>
        <v>1</v>
      </c>
      <c r="AJ8" s="32">
        <f t="shared" si="6"/>
        <v>1</v>
      </c>
      <c r="AK8" s="32" t="b">
        <f t="shared" si="7"/>
        <v>0</v>
      </c>
      <c r="AL8" s="32">
        <f t="shared" si="8"/>
        <v>1</v>
      </c>
      <c r="AM8" s="32" t="b">
        <f t="shared" si="9"/>
        <v>0</v>
      </c>
      <c r="AN8" s="32" t="b">
        <f t="shared" si="10"/>
        <v>0</v>
      </c>
      <c r="AO8" s="32">
        <f t="shared" si="11"/>
        <v>1</v>
      </c>
      <c r="AP8" s="32" t="b">
        <f t="shared" si="12"/>
        <v>0</v>
      </c>
      <c r="AQ8" s="32">
        <f t="shared" si="13"/>
        <v>2</v>
      </c>
      <c r="AR8" s="32">
        <f t="shared" si="14"/>
        <v>3</v>
      </c>
      <c r="AS8" s="32">
        <f t="shared" si="15"/>
        <v>3</v>
      </c>
      <c r="AT8" s="32">
        <f t="shared" si="16"/>
        <v>2</v>
      </c>
      <c r="AU8" s="36" t="str">
        <f>VLOOKUP(R8,S4:T8,2,0)</f>
        <v>Alliance Nord Aix 2</v>
      </c>
      <c r="AV8" s="34">
        <f>VLOOKUP(AU8,T4:AE8,12,0)</f>
        <v>4999.9660000000003</v>
      </c>
      <c r="AW8" s="32">
        <f>RANK(AV8,AV4:AV8)</f>
        <v>5</v>
      </c>
      <c r="AX8" s="33" t="str">
        <f t="shared" si="17"/>
        <v>Rousset 3</v>
      </c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</row>
    <row r="9" spans="1:70" x14ac:dyDescent="0.25">
      <c r="A9" s="108" t="s">
        <v>2</v>
      </c>
      <c r="B9" s="97">
        <v>3</v>
      </c>
      <c r="C9" s="98">
        <v>1</v>
      </c>
      <c r="D9" s="109" t="s">
        <v>7</v>
      </c>
      <c r="E9" s="110"/>
      <c r="F9" s="11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32">
        <f t="shared" si="3"/>
        <v>4</v>
      </c>
      <c r="AH9" s="32">
        <f t="shared" si="4"/>
        <v>1</v>
      </c>
      <c r="AI9" s="32">
        <f t="shared" si="5"/>
        <v>1</v>
      </c>
      <c r="AJ9" s="32">
        <f t="shared" si="6"/>
        <v>1</v>
      </c>
      <c r="AK9" s="32">
        <f t="shared" si="7"/>
        <v>1</v>
      </c>
      <c r="AL9" s="32" t="b">
        <f t="shared" si="8"/>
        <v>0</v>
      </c>
      <c r="AM9" s="32" t="b">
        <f t="shared" si="9"/>
        <v>0</v>
      </c>
      <c r="AN9" s="32" t="b">
        <f t="shared" si="10"/>
        <v>0</v>
      </c>
      <c r="AO9" s="32" t="b">
        <f t="shared" si="11"/>
        <v>0</v>
      </c>
      <c r="AP9" s="32">
        <f t="shared" si="12"/>
        <v>1</v>
      </c>
      <c r="AQ9" s="32">
        <f t="shared" si="13"/>
        <v>3</v>
      </c>
      <c r="AR9" s="32">
        <f t="shared" si="14"/>
        <v>1</v>
      </c>
      <c r="AS9" s="32">
        <f t="shared" si="15"/>
        <v>1</v>
      </c>
      <c r="AT9" s="32">
        <f t="shared" si="16"/>
        <v>3</v>
      </c>
      <c r="AU9" s="62"/>
      <c r="AV9" s="61"/>
      <c r="AW9" s="61"/>
      <c r="AX9" s="62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</row>
    <row r="10" spans="1:70" x14ac:dyDescent="0.25">
      <c r="A10" s="108" t="s">
        <v>3</v>
      </c>
      <c r="B10" s="97">
        <v>0</v>
      </c>
      <c r="C10" s="98">
        <v>0</v>
      </c>
      <c r="D10" s="109" t="s">
        <v>4</v>
      </c>
      <c r="E10" s="110"/>
      <c r="F10" s="11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32">
        <f t="shared" si="3"/>
        <v>2</v>
      </c>
      <c r="AH10" s="32">
        <f t="shared" si="4"/>
        <v>2</v>
      </c>
      <c r="AI10" s="32">
        <f t="shared" si="5"/>
        <v>1</v>
      </c>
      <c r="AJ10" s="32">
        <f t="shared" si="6"/>
        <v>1</v>
      </c>
      <c r="AK10" s="32" t="b">
        <f t="shared" si="7"/>
        <v>0</v>
      </c>
      <c r="AL10" s="32" t="b">
        <f t="shared" si="8"/>
        <v>0</v>
      </c>
      <c r="AM10" s="32">
        <f t="shared" si="9"/>
        <v>1</v>
      </c>
      <c r="AN10" s="32">
        <f t="shared" si="10"/>
        <v>1</v>
      </c>
      <c r="AO10" s="32" t="b">
        <f t="shared" si="11"/>
        <v>0</v>
      </c>
      <c r="AP10" s="32" t="b">
        <f t="shared" si="12"/>
        <v>0</v>
      </c>
      <c r="AQ10" s="32">
        <f t="shared" si="13"/>
        <v>0</v>
      </c>
      <c r="AR10" s="32">
        <f t="shared" si="14"/>
        <v>0</v>
      </c>
      <c r="AS10" s="32">
        <f t="shared" si="15"/>
        <v>0</v>
      </c>
      <c r="AT10" s="32">
        <f t="shared" si="16"/>
        <v>0</v>
      </c>
      <c r="AU10" s="62"/>
      <c r="AV10" s="61"/>
      <c r="AW10" s="61"/>
      <c r="AX10" s="62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</row>
    <row r="11" spans="1:70" x14ac:dyDescent="0.25">
      <c r="A11" s="108" t="s">
        <v>16</v>
      </c>
      <c r="B11" s="97">
        <v>2</v>
      </c>
      <c r="C11" s="98">
        <v>1</v>
      </c>
      <c r="D11" s="109" t="s">
        <v>7</v>
      </c>
      <c r="E11" s="110"/>
      <c r="F11" s="11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32">
        <f t="shared" si="3"/>
        <v>4</v>
      </c>
      <c r="AH11" s="32">
        <f t="shared" si="4"/>
        <v>1</v>
      </c>
      <c r="AI11" s="32">
        <f t="shared" si="5"/>
        <v>1</v>
      </c>
      <c r="AJ11" s="32">
        <f t="shared" si="6"/>
        <v>1</v>
      </c>
      <c r="AK11" s="32">
        <f t="shared" si="7"/>
        <v>1</v>
      </c>
      <c r="AL11" s="32" t="b">
        <f t="shared" si="8"/>
        <v>0</v>
      </c>
      <c r="AM11" s="32" t="b">
        <f t="shared" si="9"/>
        <v>0</v>
      </c>
      <c r="AN11" s="32" t="b">
        <f t="shared" si="10"/>
        <v>0</v>
      </c>
      <c r="AO11" s="32" t="b">
        <f t="shared" si="11"/>
        <v>0</v>
      </c>
      <c r="AP11" s="32">
        <f t="shared" si="12"/>
        <v>1</v>
      </c>
      <c r="AQ11" s="32">
        <f t="shared" si="13"/>
        <v>2</v>
      </c>
      <c r="AR11" s="32">
        <f t="shared" si="14"/>
        <v>1</v>
      </c>
      <c r="AS11" s="32">
        <f t="shared" si="15"/>
        <v>1</v>
      </c>
      <c r="AT11" s="32">
        <f t="shared" si="16"/>
        <v>2</v>
      </c>
      <c r="AU11" s="62"/>
      <c r="AV11" s="61"/>
      <c r="AW11" s="61"/>
      <c r="AX11" s="62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</row>
    <row r="12" spans="1:70" x14ac:dyDescent="0.25">
      <c r="A12" s="108" t="s">
        <v>2</v>
      </c>
      <c r="B12" s="97">
        <v>4</v>
      </c>
      <c r="C12" s="98">
        <v>2</v>
      </c>
      <c r="D12" s="109" t="s">
        <v>4</v>
      </c>
      <c r="E12" s="110"/>
      <c r="F12" s="11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32">
        <f t="shared" si="3"/>
        <v>4</v>
      </c>
      <c r="AH12" s="32">
        <f t="shared" si="4"/>
        <v>1</v>
      </c>
      <c r="AI12" s="32">
        <f t="shared" si="5"/>
        <v>1</v>
      </c>
      <c r="AJ12" s="32">
        <f t="shared" si="6"/>
        <v>1</v>
      </c>
      <c r="AK12" s="32">
        <f t="shared" si="7"/>
        <v>1</v>
      </c>
      <c r="AL12" s="32" t="b">
        <f t="shared" si="8"/>
        <v>0</v>
      </c>
      <c r="AM12" s="32" t="b">
        <f t="shared" si="9"/>
        <v>0</v>
      </c>
      <c r="AN12" s="32" t="b">
        <f t="shared" si="10"/>
        <v>0</v>
      </c>
      <c r="AO12" s="32" t="b">
        <f t="shared" si="11"/>
        <v>0</v>
      </c>
      <c r="AP12" s="32">
        <f t="shared" si="12"/>
        <v>1</v>
      </c>
      <c r="AQ12" s="32">
        <f t="shared" si="13"/>
        <v>4</v>
      </c>
      <c r="AR12" s="32">
        <f t="shared" si="14"/>
        <v>2</v>
      </c>
      <c r="AS12" s="32">
        <f t="shared" si="15"/>
        <v>2</v>
      </c>
      <c r="AT12" s="32">
        <f t="shared" si="16"/>
        <v>4</v>
      </c>
      <c r="AU12" s="62"/>
      <c r="AV12" s="61"/>
      <c r="AW12" s="61"/>
      <c r="AX12" s="62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</row>
    <row r="13" spans="1:70" ht="15.75" thickBot="1" x14ac:dyDescent="0.3">
      <c r="A13" s="112" t="s">
        <v>3</v>
      </c>
      <c r="B13" s="99">
        <v>1</v>
      </c>
      <c r="C13" s="113">
        <v>5</v>
      </c>
      <c r="D13" s="114" t="s">
        <v>16</v>
      </c>
      <c r="E13" s="115"/>
      <c r="F13" s="116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32">
        <f t="shared" si="3"/>
        <v>1</v>
      </c>
      <c r="AH13" s="32">
        <f t="shared" si="4"/>
        <v>4</v>
      </c>
      <c r="AI13" s="32">
        <f t="shared" si="5"/>
        <v>1</v>
      </c>
      <c r="AJ13" s="32">
        <f t="shared" si="6"/>
        <v>1</v>
      </c>
      <c r="AK13" s="32" t="b">
        <f t="shared" si="7"/>
        <v>0</v>
      </c>
      <c r="AL13" s="32">
        <f t="shared" si="8"/>
        <v>1</v>
      </c>
      <c r="AM13" s="32" t="b">
        <f t="shared" si="9"/>
        <v>0</v>
      </c>
      <c r="AN13" s="32" t="b">
        <f t="shared" si="10"/>
        <v>0</v>
      </c>
      <c r="AO13" s="32">
        <f t="shared" si="11"/>
        <v>1</v>
      </c>
      <c r="AP13" s="32" t="b">
        <f t="shared" si="12"/>
        <v>0</v>
      </c>
      <c r="AQ13" s="32">
        <f t="shared" si="13"/>
        <v>1</v>
      </c>
      <c r="AR13" s="32">
        <f t="shared" si="14"/>
        <v>5</v>
      </c>
      <c r="AS13" s="32">
        <f t="shared" si="15"/>
        <v>5</v>
      </c>
      <c r="AT13" s="32">
        <f t="shared" si="16"/>
        <v>1</v>
      </c>
      <c r="AU13" s="62"/>
      <c r="AV13" s="61"/>
      <c r="AW13" s="61"/>
      <c r="AX13" s="62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</row>
    <row r="14" spans="1:70" ht="15.75" thickBot="1" x14ac:dyDescent="0.3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2"/>
      <c r="AV14" s="61"/>
      <c r="AW14" s="61"/>
      <c r="AX14" s="62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</row>
    <row r="15" spans="1:70" ht="15" customHeight="1" x14ac:dyDescent="0.25">
      <c r="A15" s="63" t="s">
        <v>32</v>
      </c>
      <c r="B15" s="64"/>
      <c r="C15" s="64"/>
      <c r="D15" s="64"/>
      <c r="E15" s="64"/>
      <c r="F15" s="65"/>
      <c r="G15" s="61"/>
      <c r="H15" s="63" t="s">
        <v>33</v>
      </c>
      <c r="I15" s="64"/>
      <c r="J15" s="64"/>
      <c r="K15" s="64"/>
      <c r="L15" s="64"/>
      <c r="M15" s="64"/>
      <c r="N15" s="64"/>
      <c r="O15" s="64"/>
      <c r="P15" s="64"/>
      <c r="Q15" s="65"/>
      <c r="R15" s="5"/>
      <c r="S15" s="41"/>
      <c r="T15" s="45" t="s">
        <v>33</v>
      </c>
      <c r="U15" s="46"/>
      <c r="V15" s="46"/>
      <c r="W15" s="46"/>
      <c r="X15" s="46"/>
      <c r="Y15" s="46"/>
      <c r="Z15" s="46"/>
      <c r="AA15" s="46"/>
      <c r="AB15" s="46"/>
      <c r="AC15" s="46"/>
      <c r="AD15" s="47"/>
      <c r="AE15" s="40"/>
      <c r="AF15" s="41"/>
      <c r="AG15" s="37" t="s">
        <v>28</v>
      </c>
      <c r="AH15" s="37" t="s">
        <v>29</v>
      </c>
      <c r="AI15" s="37" t="s">
        <v>28</v>
      </c>
      <c r="AJ15" s="37" t="s">
        <v>29</v>
      </c>
      <c r="AK15" s="37" t="s">
        <v>28</v>
      </c>
      <c r="AL15" s="37" t="s">
        <v>29</v>
      </c>
      <c r="AM15" s="37" t="s">
        <v>28</v>
      </c>
      <c r="AN15" s="37" t="s">
        <v>29</v>
      </c>
      <c r="AO15" s="37" t="s">
        <v>28</v>
      </c>
      <c r="AP15" s="37" t="s">
        <v>29</v>
      </c>
      <c r="AQ15" s="37" t="s">
        <v>28</v>
      </c>
      <c r="AR15" s="37" t="s">
        <v>29</v>
      </c>
      <c r="AS15" s="37" t="s">
        <v>28</v>
      </c>
      <c r="AT15" s="37" t="s">
        <v>29</v>
      </c>
      <c r="AU15" s="40"/>
      <c r="AV15" s="5"/>
      <c r="AW15" s="5"/>
      <c r="AX15" s="5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</row>
    <row r="16" spans="1:70" ht="15.75" customHeight="1" thickBot="1" x14ac:dyDescent="0.3">
      <c r="A16" s="66"/>
      <c r="B16" s="67"/>
      <c r="C16" s="67"/>
      <c r="D16" s="67"/>
      <c r="E16" s="67"/>
      <c r="F16" s="68"/>
      <c r="G16" s="61"/>
      <c r="H16" s="66"/>
      <c r="I16" s="67"/>
      <c r="J16" s="67"/>
      <c r="K16" s="67"/>
      <c r="L16" s="67"/>
      <c r="M16" s="67"/>
      <c r="N16" s="67"/>
      <c r="O16" s="67"/>
      <c r="P16" s="67"/>
      <c r="Q16" s="68"/>
      <c r="R16" s="44"/>
      <c r="S16" s="43"/>
      <c r="T16" s="48"/>
      <c r="U16" s="49"/>
      <c r="V16" s="49"/>
      <c r="W16" s="49"/>
      <c r="X16" s="49"/>
      <c r="Y16" s="49"/>
      <c r="Z16" s="49"/>
      <c r="AA16" s="49"/>
      <c r="AB16" s="49"/>
      <c r="AC16" s="49"/>
      <c r="AD16" s="50"/>
      <c r="AE16" s="42"/>
      <c r="AF16" s="43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42"/>
      <c r="AV16" s="44"/>
      <c r="AW16" s="44"/>
      <c r="AX16" s="44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</row>
    <row r="17" spans="1:70" ht="15.75" thickBot="1" x14ac:dyDescent="0.3">
      <c r="A17" s="19" t="s">
        <v>11</v>
      </c>
      <c r="B17" s="20" t="s">
        <v>12</v>
      </c>
      <c r="C17" s="20"/>
      <c r="D17" s="31" t="s">
        <v>11</v>
      </c>
      <c r="E17" s="30" t="s">
        <v>14</v>
      </c>
      <c r="F17" s="29" t="s">
        <v>13</v>
      </c>
      <c r="G17" s="61"/>
      <c r="H17" s="19" t="s">
        <v>17</v>
      </c>
      <c r="I17" s="21" t="s">
        <v>11</v>
      </c>
      <c r="J17" s="21" t="s">
        <v>18</v>
      </c>
      <c r="K17" s="21" t="s">
        <v>19</v>
      </c>
      <c r="L17" s="21" t="s">
        <v>20</v>
      </c>
      <c r="M17" s="21" t="s">
        <v>21</v>
      </c>
      <c r="N17" s="21" t="s">
        <v>22</v>
      </c>
      <c r="O17" s="21" t="s">
        <v>23</v>
      </c>
      <c r="P17" s="21" t="s">
        <v>24</v>
      </c>
      <c r="Q17" s="22" t="s">
        <v>25</v>
      </c>
      <c r="R17" s="51" t="s">
        <v>27</v>
      </c>
      <c r="S17" s="39"/>
      <c r="T17" s="32" t="s">
        <v>11</v>
      </c>
      <c r="U17" s="32" t="s">
        <v>27</v>
      </c>
      <c r="V17" s="32" t="s">
        <v>17</v>
      </c>
      <c r="W17" s="32" t="s">
        <v>18</v>
      </c>
      <c r="X17" s="32" t="s">
        <v>19</v>
      </c>
      <c r="Y17" s="32" t="s">
        <v>20</v>
      </c>
      <c r="Z17" s="32" t="s">
        <v>21</v>
      </c>
      <c r="AA17" s="32" t="s">
        <v>22</v>
      </c>
      <c r="AB17" s="32" t="s">
        <v>23</v>
      </c>
      <c r="AC17" s="32" t="s">
        <v>24</v>
      </c>
      <c r="AD17" s="32" t="s">
        <v>25</v>
      </c>
      <c r="AE17" s="35" t="s">
        <v>27</v>
      </c>
      <c r="AF17" s="32" t="s">
        <v>17</v>
      </c>
      <c r="AG17" s="32" t="s">
        <v>18</v>
      </c>
      <c r="AH17" s="32" t="s">
        <v>18</v>
      </c>
      <c r="AI17" s="32" t="s">
        <v>19</v>
      </c>
      <c r="AJ17" s="32" t="s">
        <v>19</v>
      </c>
      <c r="AK17" s="32" t="s">
        <v>20</v>
      </c>
      <c r="AL17" s="32" t="s">
        <v>20</v>
      </c>
      <c r="AM17" s="32" t="s">
        <v>21</v>
      </c>
      <c r="AN17" s="32" t="s">
        <v>21</v>
      </c>
      <c r="AO17" s="32" t="s">
        <v>22</v>
      </c>
      <c r="AP17" s="32" t="s">
        <v>22</v>
      </c>
      <c r="AQ17" s="32" t="s">
        <v>23</v>
      </c>
      <c r="AR17" s="32" t="s">
        <v>23</v>
      </c>
      <c r="AS17" s="32" t="s">
        <v>24</v>
      </c>
      <c r="AT17" s="32" t="s">
        <v>24</v>
      </c>
      <c r="AU17" s="35" t="s">
        <v>11</v>
      </c>
      <c r="AV17" s="32" t="s">
        <v>30</v>
      </c>
      <c r="AW17" s="32" t="s">
        <v>31</v>
      </c>
      <c r="AX17" s="32" t="s">
        <v>11</v>
      </c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</row>
    <row r="18" spans="1:70" x14ac:dyDescent="0.25">
      <c r="A18" s="104" t="s">
        <v>5</v>
      </c>
      <c r="B18" s="95">
        <v>2</v>
      </c>
      <c r="C18" s="96">
        <v>1</v>
      </c>
      <c r="D18" s="105" t="s">
        <v>6</v>
      </c>
      <c r="E18" s="106"/>
      <c r="F18" s="107"/>
      <c r="G18" s="61"/>
      <c r="H18" s="58">
        <v>1</v>
      </c>
      <c r="I18" s="18" t="str">
        <f>VLOOKUP(R18,S18:T22,2,0)</f>
        <v>Rousset 2</v>
      </c>
      <c r="J18" s="59">
        <f>VLOOKUP(I18,T18:AD22,4,0)</f>
        <v>16</v>
      </c>
      <c r="K18" s="59">
        <f>VLOOKUP(I18,T18:AD22,5,0)</f>
        <v>4</v>
      </c>
      <c r="L18" s="59">
        <f>VLOOKUP(I18,T18:AD22,6,0)</f>
        <v>4</v>
      </c>
      <c r="M18" s="59">
        <f>VLOOKUP(I18,T18:AD22,7,0)</f>
        <v>0</v>
      </c>
      <c r="N18" s="59">
        <f>VLOOKUP(I18,T18:AD22,8,0)</f>
        <v>0</v>
      </c>
      <c r="O18" s="59">
        <f>VLOOKUP(I18,T18:AD22,9,0)</f>
        <v>11</v>
      </c>
      <c r="P18" s="59">
        <f>VLOOKUP(I18,T18:AD22,10,0)</f>
        <v>5</v>
      </c>
      <c r="Q18" s="60">
        <f>VLOOKUP(I18,T18:AD22,11,0)</f>
        <v>6</v>
      </c>
      <c r="R18" s="35">
        <v>1</v>
      </c>
      <c r="S18" s="32">
        <f>V18</f>
        <v>2</v>
      </c>
      <c r="T18" s="33" t="str">
        <f>Equipes!A8</f>
        <v>E</v>
      </c>
      <c r="U18" s="32">
        <f>RANK(AE18,AE18:AE22)</f>
        <v>2</v>
      </c>
      <c r="V18" s="32">
        <f>RANK(AF18,AF18:AF22)</f>
        <v>2</v>
      </c>
      <c r="W18" s="32">
        <f>SUMPRODUCT((A18:A27=T18)*(AG18:AG27))+SUMPRODUCT((D18:D27=T18)*(AH18:AH27))</f>
        <v>13</v>
      </c>
      <c r="X18" s="32">
        <f>SUMPRODUCT((A18:A27=T18)*(AI18:AI27))+SUMPRODUCT((D18:D27=T18)*(AJ18:AJ27))</f>
        <v>4</v>
      </c>
      <c r="Y18" s="32">
        <f>SUMPRODUCT((A18:A27=T18)*(AK18:AK27))+SUMPRODUCT((D18:D27=T18)*(AL18:AL27))</f>
        <v>3</v>
      </c>
      <c r="Z18" s="32">
        <f>SUMPRODUCT((A18:A27=T18)*(AM18:AM27))+SUMPRODUCT((D18:D27=T18)*(AN18:AN27))</f>
        <v>0</v>
      </c>
      <c r="AA18" s="32">
        <f>SUMPRODUCT((A18:A27=T18)*(AO18:AO27))+SUMPRODUCT((D18:D27=T18)*(AP18:AP27))</f>
        <v>1</v>
      </c>
      <c r="AB18" s="32">
        <f>SUMPRODUCT((A18:A27=T18)*(AQ18:AQ27))+SUMPRODUCT((D18:D27=T18)*(AR18:AR27))</f>
        <v>11</v>
      </c>
      <c r="AC18" s="32">
        <f>SUMPRODUCT((A18:A27=T18)*(AS18:AS27))+SUMPRODUCT((D18:D27=T18)*(AT18:AT27))</f>
        <v>6</v>
      </c>
      <c r="AD18" s="32">
        <f>AB18-AC18</f>
        <v>5</v>
      </c>
      <c r="AE18" s="38">
        <f>SUM(W18*1000+(AD18)/100+(AB18)/1000)</f>
        <v>13000.061</v>
      </c>
      <c r="AF18" s="34">
        <f>AE18+0.0000005</f>
        <v>13000.0610005</v>
      </c>
      <c r="AG18" s="32">
        <f>IF(B18="",0,IF(B18&gt;C18,4,IF(B18=C18,2,IF(B18&lt;C18,1))))</f>
        <v>4</v>
      </c>
      <c r="AH18" s="32">
        <f>IF(C18="",0,IF(C18&gt;B18,4,IF(C18=B18,2,IF(C18&lt;B18,1))))</f>
        <v>1</v>
      </c>
      <c r="AI18" s="32">
        <f>IF(B18="",0,1)</f>
        <v>1</v>
      </c>
      <c r="AJ18" s="32">
        <f>IF(C18="",0,1)</f>
        <v>1</v>
      </c>
      <c r="AK18" s="32">
        <f>IF(B18&lt;&gt;"",IF(B18&gt;C18,1))</f>
        <v>1</v>
      </c>
      <c r="AL18" s="32" t="b">
        <f>IF(C18&lt;&gt;"",IF(C18&gt;B18,1))</f>
        <v>0</v>
      </c>
      <c r="AM18" s="32" t="b">
        <f>IF(B18&lt;&gt;"",IF(B18=C18,1))</f>
        <v>0</v>
      </c>
      <c r="AN18" s="32" t="b">
        <f>IF(C18&lt;&gt;"",IF(C18=B18,1))</f>
        <v>0</v>
      </c>
      <c r="AO18" s="32" t="b">
        <f>IF(B18&lt;&gt;"",IF(B18&lt;C18,1))</f>
        <v>0</v>
      </c>
      <c r="AP18" s="32">
        <f>IF(C18&lt;&gt;"",IF(C18&lt;B18,1))</f>
        <v>1</v>
      </c>
      <c r="AQ18" s="32">
        <f>B18</f>
        <v>2</v>
      </c>
      <c r="AR18" s="32">
        <f>C18</f>
        <v>1</v>
      </c>
      <c r="AS18" s="32">
        <f>C18</f>
        <v>1</v>
      </c>
      <c r="AT18" s="32">
        <f>B18</f>
        <v>2</v>
      </c>
      <c r="AU18" s="36" t="str">
        <f>VLOOKUP(R18,S18:T22,2,0)</f>
        <v>Rousset 2</v>
      </c>
      <c r="AV18" s="34">
        <f>VLOOKUP(AU18,T18:AE22,12,0)</f>
        <v>16000.071</v>
      </c>
      <c r="AW18" s="32">
        <f>RANK(AV18,AV18:AV22)</f>
        <v>1</v>
      </c>
      <c r="AX18" s="33" t="str">
        <f>T18</f>
        <v>E</v>
      </c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</row>
    <row r="19" spans="1:70" x14ac:dyDescent="0.25">
      <c r="A19" s="108" t="s">
        <v>8</v>
      </c>
      <c r="B19" s="97">
        <v>3</v>
      </c>
      <c r="C19" s="98">
        <v>2</v>
      </c>
      <c r="D19" s="109" t="s">
        <v>9</v>
      </c>
      <c r="E19" s="110"/>
      <c r="F19" s="111"/>
      <c r="G19" s="61"/>
      <c r="H19" s="52">
        <f>IF(AV19=AV18,AW18,AW19)</f>
        <v>2</v>
      </c>
      <c r="I19" s="15" t="str">
        <f>VLOOKUP(R19,S18:T22,2,0)</f>
        <v>E</v>
      </c>
      <c r="J19" s="53">
        <f>VLOOKUP(I19,T18:AD22,4,0)</f>
        <v>13</v>
      </c>
      <c r="K19" s="53">
        <f>VLOOKUP(I19,T18:AD22,5,0)</f>
        <v>4</v>
      </c>
      <c r="L19" s="53">
        <f>VLOOKUP(I19,T18:AD22,6,0)</f>
        <v>3</v>
      </c>
      <c r="M19" s="53">
        <f>VLOOKUP(I19,T18:AD22,7,0)</f>
        <v>0</v>
      </c>
      <c r="N19" s="53">
        <f>VLOOKUP(I19,T18:AD22,8,0)</f>
        <v>1</v>
      </c>
      <c r="O19" s="53">
        <f>VLOOKUP(I19,T18:AD22,9,0)</f>
        <v>11</v>
      </c>
      <c r="P19" s="53">
        <f>VLOOKUP(I19,T18:AD22,10,0)</f>
        <v>6</v>
      </c>
      <c r="Q19" s="54">
        <f>VLOOKUP(I19,T18:AD22,11,0)</f>
        <v>5</v>
      </c>
      <c r="R19" s="35">
        <v>2</v>
      </c>
      <c r="S19" s="32">
        <f t="shared" ref="S19:S22" si="19">V19</f>
        <v>3</v>
      </c>
      <c r="T19" s="33" t="str">
        <f>Equipes!A9</f>
        <v>Gardanne Biver</v>
      </c>
      <c r="U19" s="32">
        <f>RANK(AE19,AE18:AE22)</f>
        <v>3</v>
      </c>
      <c r="V19" s="32">
        <f>RANK(AF19,AF18:AF22)</f>
        <v>3</v>
      </c>
      <c r="W19" s="32">
        <f>SUMPRODUCT((A18:A27=T19)*(AG18:AG27))+SUMPRODUCT((D18:D27=T19)*(AH18:AH27))</f>
        <v>8</v>
      </c>
      <c r="X19" s="32">
        <f>SUMPRODUCT((A18:A27=T19)*(AI18:AI27))+SUMPRODUCT((D18:D27=T19)*(AJ18:AJ27))</f>
        <v>4</v>
      </c>
      <c r="Y19" s="32">
        <f>SUMPRODUCT((A18:A27=T19)*(AK18:AK27))+SUMPRODUCT((D18:D27=T19)*(AL18:AL27))</f>
        <v>1</v>
      </c>
      <c r="Z19" s="32">
        <f>SUMPRODUCT((A18:A27=T19)*(AM18:AM27))+SUMPRODUCT((D18:D27=T19)*(AN18:AN27))</f>
        <v>1</v>
      </c>
      <c r="AA19" s="32">
        <f>SUMPRODUCT((A18:A27=T19)*(AO18:AO27))+SUMPRODUCT((D18:D27=T19)*(AP18:AP27))</f>
        <v>2</v>
      </c>
      <c r="AB19" s="32">
        <f>SUMPRODUCT((A18:A27=T19)*(AQ18:AQ27))+SUMPRODUCT((D18:D27=T19)*(AR18:AR27))</f>
        <v>7</v>
      </c>
      <c r="AC19" s="32">
        <f>SUMPRODUCT((A18:A27=T19)*(AS18:AS27))+SUMPRODUCT((D18:D27=T19)*(AT18:AT27))</f>
        <v>9</v>
      </c>
      <c r="AD19" s="32">
        <f t="shared" ref="AD19:AD22" si="20">AB19-AC19</f>
        <v>-2</v>
      </c>
      <c r="AE19" s="38">
        <f t="shared" ref="AE19:AE22" si="21">SUM(W19*1000+(AD19)/100+(AB19)/1000)</f>
        <v>7999.9869999999992</v>
      </c>
      <c r="AF19" s="34">
        <f>AE19+0.0000004</f>
        <v>7999.9870003999995</v>
      </c>
      <c r="AG19" s="32">
        <f t="shared" ref="AG19:AG27" si="22">IF(B19="",0,IF(B19&gt;C19,4,IF(B19=C19,2,IF(B19&lt;C19,1))))</f>
        <v>4</v>
      </c>
      <c r="AH19" s="32">
        <f t="shared" ref="AH19:AH27" si="23">IF(C19="",0,IF(C19&gt;B19,4,IF(C19=B19,2,IF(C19&lt;B19,1))))</f>
        <v>1</v>
      </c>
      <c r="AI19" s="32">
        <f t="shared" ref="AI19:AI27" si="24">IF(B19="",0,1)</f>
        <v>1</v>
      </c>
      <c r="AJ19" s="32">
        <f t="shared" ref="AJ19:AJ27" si="25">IF(C19="",0,1)</f>
        <v>1</v>
      </c>
      <c r="AK19" s="32">
        <f t="shared" ref="AK19:AK27" si="26">IF(B19&lt;&gt;"",IF(B19&gt;C19,1))</f>
        <v>1</v>
      </c>
      <c r="AL19" s="32" t="b">
        <f t="shared" ref="AL19:AL27" si="27">IF(C19&lt;&gt;"",IF(C19&gt;B19,1))</f>
        <v>0</v>
      </c>
      <c r="AM19" s="32" t="b">
        <f t="shared" ref="AM19:AM27" si="28">IF(B19&lt;&gt;"",IF(B19=C19,1))</f>
        <v>0</v>
      </c>
      <c r="AN19" s="32" t="b">
        <f t="shared" ref="AN19:AN27" si="29">IF(C19&lt;&gt;"",IF(C19=B19,1))</f>
        <v>0</v>
      </c>
      <c r="AO19" s="32" t="b">
        <f t="shared" ref="AO19:AO27" si="30">IF(B19&lt;&gt;"",IF(B19&lt;C19,1))</f>
        <v>0</v>
      </c>
      <c r="AP19" s="32">
        <f t="shared" ref="AP19:AP27" si="31">IF(C19&lt;&gt;"",IF(C19&lt;B19,1))</f>
        <v>1</v>
      </c>
      <c r="AQ19" s="32">
        <f t="shared" ref="AQ19:AQ27" si="32">B19</f>
        <v>3</v>
      </c>
      <c r="AR19" s="32">
        <f t="shared" ref="AR19:AR27" si="33">C19</f>
        <v>2</v>
      </c>
      <c r="AS19" s="32">
        <f t="shared" ref="AS19:AS27" si="34">C19</f>
        <v>2</v>
      </c>
      <c r="AT19" s="32">
        <f t="shared" ref="AT19:AT27" si="35">B19</f>
        <v>3</v>
      </c>
      <c r="AU19" s="36" t="str">
        <f>VLOOKUP(R19,S18:T22,2,0)</f>
        <v>E</v>
      </c>
      <c r="AV19" s="34">
        <f>VLOOKUP(AU19,T18:AE22,12,0)</f>
        <v>13000.061</v>
      </c>
      <c r="AW19" s="32">
        <f>RANK(AV19,AV18:AV22)</f>
        <v>2</v>
      </c>
      <c r="AX19" s="33" t="str">
        <f t="shared" ref="AX19:AX22" si="36">T19</f>
        <v>Gardanne Biver</v>
      </c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</row>
    <row r="20" spans="1:70" x14ac:dyDescent="0.25">
      <c r="A20" s="108" t="s">
        <v>10</v>
      </c>
      <c r="B20" s="97">
        <v>1</v>
      </c>
      <c r="C20" s="98">
        <v>2</v>
      </c>
      <c r="D20" s="109" t="s">
        <v>5</v>
      </c>
      <c r="E20" s="110"/>
      <c r="F20" s="111"/>
      <c r="G20" s="61"/>
      <c r="H20" s="52">
        <f t="shared" ref="H20:H22" si="37">IF(AV20=AV19,AW19,AW20)</f>
        <v>3</v>
      </c>
      <c r="I20" s="15" t="str">
        <f>VLOOKUP(R20,S18:T22,2,0)</f>
        <v>Gardanne Biver</v>
      </c>
      <c r="J20" s="53">
        <f>VLOOKUP(I20,T18:AD22,4,0)</f>
        <v>8</v>
      </c>
      <c r="K20" s="53">
        <f>VLOOKUP(I20,T18:AD22,5,0)</f>
        <v>4</v>
      </c>
      <c r="L20" s="53">
        <f>VLOOKUP(I20,T18:AD22,6,0)</f>
        <v>1</v>
      </c>
      <c r="M20" s="53">
        <f>VLOOKUP(I20,T18:AD22,7,0)</f>
        <v>1</v>
      </c>
      <c r="N20" s="53">
        <f>VLOOKUP(I20,T18:AD22,8,0)</f>
        <v>2</v>
      </c>
      <c r="O20" s="53">
        <f>VLOOKUP(I20,T18:AD22,9,0)</f>
        <v>7</v>
      </c>
      <c r="P20" s="53">
        <f>VLOOKUP(I20,T18:AD22,10,0)</f>
        <v>9</v>
      </c>
      <c r="Q20" s="54">
        <f>VLOOKUP(I20,T18:AD22,11,0)</f>
        <v>-2</v>
      </c>
      <c r="R20" s="35">
        <v>3</v>
      </c>
      <c r="S20" s="32">
        <f t="shared" si="19"/>
        <v>5</v>
      </c>
      <c r="T20" s="33" t="str">
        <f>Equipes!A10</f>
        <v>La Tour d'Aigues</v>
      </c>
      <c r="U20" s="32">
        <f>RANK(AE20,AE18:AE22)</f>
        <v>5</v>
      </c>
      <c r="V20" s="32">
        <f>RANK(AF20,AF18:AF22)</f>
        <v>5</v>
      </c>
      <c r="W20" s="32">
        <f>SUMPRODUCT((A18:A27=T20)*(AG18:AG27))+SUMPRODUCT((D18:D27=T20)*(AH18:AH27))</f>
        <v>5</v>
      </c>
      <c r="X20" s="32">
        <f>SUMPRODUCT((A18:A27=T20)*(AI18:AI27))+SUMPRODUCT((D18:D27=T20)*(AJ18:AJ27))</f>
        <v>4</v>
      </c>
      <c r="Y20" s="32">
        <f>SUMPRODUCT((A18:A27=T20)*(AK18:AK27))+SUMPRODUCT((D18:D27=T20)*(AL18:AL27))</f>
        <v>0</v>
      </c>
      <c r="Z20" s="32">
        <f>SUMPRODUCT((A18:A27=T20)*(AM18:AM27))+SUMPRODUCT((D18:D27=T20)*(AN18:AN27))</f>
        <v>1</v>
      </c>
      <c r="AA20" s="32">
        <f>SUMPRODUCT((A18:A27=T20)*(AO18:AO27))+SUMPRODUCT((D18:D27=T20)*(AP18:AP27))</f>
        <v>3</v>
      </c>
      <c r="AB20" s="32">
        <f>SUMPRODUCT((A18:A27=T20)*(AQ18:AQ27))+SUMPRODUCT((D18:D27=T20)*(AR18:AR27))</f>
        <v>6</v>
      </c>
      <c r="AC20" s="32">
        <f>SUMPRODUCT((A18:A27=T20)*(AS18:AS27))+SUMPRODUCT((D18:D27=T20)*(AT18:AT27))</f>
        <v>10</v>
      </c>
      <c r="AD20" s="32">
        <f t="shared" si="20"/>
        <v>-4</v>
      </c>
      <c r="AE20" s="38">
        <f t="shared" si="21"/>
        <v>4999.9660000000003</v>
      </c>
      <c r="AF20" s="34">
        <f>AE20+0.0000003</f>
        <v>4999.9660002999999</v>
      </c>
      <c r="AG20" s="32">
        <f t="shared" si="22"/>
        <v>1</v>
      </c>
      <c r="AH20" s="32">
        <f t="shared" si="23"/>
        <v>4</v>
      </c>
      <c r="AI20" s="32">
        <f t="shared" si="24"/>
        <v>1</v>
      </c>
      <c r="AJ20" s="32">
        <f t="shared" si="25"/>
        <v>1</v>
      </c>
      <c r="AK20" s="32" t="b">
        <f t="shared" si="26"/>
        <v>0</v>
      </c>
      <c r="AL20" s="32">
        <f t="shared" si="27"/>
        <v>1</v>
      </c>
      <c r="AM20" s="32" t="b">
        <f t="shared" si="28"/>
        <v>0</v>
      </c>
      <c r="AN20" s="32" t="b">
        <f t="shared" si="29"/>
        <v>0</v>
      </c>
      <c r="AO20" s="32">
        <f t="shared" si="30"/>
        <v>1</v>
      </c>
      <c r="AP20" s="32" t="b">
        <f t="shared" si="31"/>
        <v>0</v>
      </c>
      <c r="AQ20" s="32">
        <f t="shared" si="32"/>
        <v>1</v>
      </c>
      <c r="AR20" s="32">
        <f t="shared" si="33"/>
        <v>2</v>
      </c>
      <c r="AS20" s="32">
        <f t="shared" si="34"/>
        <v>2</v>
      </c>
      <c r="AT20" s="32">
        <f t="shared" si="35"/>
        <v>1</v>
      </c>
      <c r="AU20" s="36" t="str">
        <f>VLOOKUP(R20,S18:T22,2,0)</f>
        <v>Gardanne Biver</v>
      </c>
      <c r="AV20" s="34">
        <f>VLOOKUP(AU20,T18:AE22,12,0)</f>
        <v>7999.9869999999992</v>
      </c>
      <c r="AW20" s="32">
        <f>RANK(AV20,AV18:AV22)</f>
        <v>3</v>
      </c>
      <c r="AX20" s="33" t="str">
        <f t="shared" si="36"/>
        <v>La Tour d'Aigues</v>
      </c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</row>
    <row r="21" spans="1:70" x14ac:dyDescent="0.25">
      <c r="A21" s="108" t="s">
        <v>6</v>
      </c>
      <c r="B21" s="97">
        <v>2</v>
      </c>
      <c r="C21" s="98">
        <v>2</v>
      </c>
      <c r="D21" s="109" t="s">
        <v>8</v>
      </c>
      <c r="E21" s="110"/>
      <c r="F21" s="111"/>
      <c r="G21" s="61"/>
      <c r="H21" s="52">
        <f t="shared" si="37"/>
        <v>4</v>
      </c>
      <c r="I21" s="15" t="str">
        <f>VLOOKUP(R21,S18:T22,2,0)</f>
        <v>Vivaux Sauvagère</v>
      </c>
      <c r="J21" s="53">
        <f>VLOOKUP(I21,T18:AD22,4,0)</f>
        <v>6</v>
      </c>
      <c r="K21" s="53">
        <f>VLOOKUP(I21,T18:AD22,5,0)</f>
        <v>4</v>
      </c>
      <c r="L21" s="53">
        <f>VLOOKUP(I21,T18:AD22,6,0)</f>
        <v>0</v>
      </c>
      <c r="M21" s="53">
        <f>VLOOKUP(I21,T18:AD22,7,0)</f>
        <v>2</v>
      </c>
      <c r="N21" s="53">
        <f>VLOOKUP(I21,T18:AD22,8,0)</f>
        <v>2</v>
      </c>
      <c r="O21" s="53">
        <f>VLOOKUP(I21,T18:AD22,9,0)</f>
        <v>4</v>
      </c>
      <c r="P21" s="53">
        <f>VLOOKUP(I21,T18:AD22,10,0)</f>
        <v>9</v>
      </c>
      <c r="Q21" s="54">
        <f>VLOOKUP(I21,T18:AD22,11,0)</f>
        <v>-5</v>
      </c>
      <c r="R21" s="35">
        <v>4</v>
      </c>
      <c r="S21" s="32">
        <f t="shared" si="19"/>
        <v>1</v>
      </c>
      <c r="T21" s="33" t="str">
        <f>Equipes!A11</f>
        <v>Rousset 2</v>
      </c>
      <c r="U21" s="32">
        <f>RANK(AE21,AE18:AE22)</f>
        <v>1</v>
      </c>
      <c r="V21" s="32">
        <f>RANK(AF21,AF18:AF22)</f>
        <v>1</v>
      </c>
      <c r="W21" s="32">
        <f>SUMPRODUCT((A18:A27=T21)*(AG18:AG27))+SUMPRODUCT((D18:D27=T21)*(AH18:AH27))</f>
        <v>16</v>
      </c>
      <c r="X21" s="32">
        <f>SUMPRODUCT((A18:A27=T21)*(AI18:AI27))+SUMPRODUCT((D18:D27=T21)*(AJ18:AJ27))</f>
        <v>4</v>
      </c>
      <c r="Y21" s="32">
        <f>SUMPRODUCT((A18:A27=T21)*(AK18:AK27))+SUMPRODUCT((D18:D27=T21)*(AL18:AL27))</f>
        <v>4</v>
      </c>
      <c r="Z21" s="32">
        <f>SUMPRODUCT((A18:A27=T21)*(AM18:AM27))+SUMPRODUCT((D18:D27=T21)*(AN18:AN27))</f>
        <v>0</v>
      </c>
      <c r="AA21" s="32">
        <f>SUMPRODUCT((A18:A27=T21)*(AO18:AO27))+SUMPRODUCT((D18:D27=T21)*(AP18:AP27))</f>
        <v>0</v>
      </c>
      <c r="AB21" s="32">
        <f>SUMPRODUCT((A18:A27=T21)*(AQ18:AQ27))+SUMPRODUCT((D18:D27=T21)*(AR18:AR27))</f>
        <v>11</v>
      </c>
      <c r="AC21" s="32">
        <f>SUMPRODUCT((A18:A27=T21)*(AS18:AS27))+SUMPRODUCT((D18:D27=T21)*(AT18:AT27))</f>
        <v>5</v>
      </c>
      <c r="AD21" s="32">
        <f t="shared" si="20"/>
        <v>6</v>
      </c>
      <c r="AE21" s="38">
        <f t="shared" si="21"/>
        <v>16000.071</v>
      </c>
      <c r="AF21" s="34">
        <f>AE21+0.0000002</f>
        <v>16000.0710002</v>
      </c>
      <c r="AG21" s="32">
        <f t="shared" si="22"/>
        <v>2</v>
      </c>
      <c r="AH21" s="32">
        <f t="shared" si="23"/>
        <v>2</v>
      </c>
      <c r="AI21" s="32">
        <f t="shared" si="24"/>
        <v>1</v>
      </c>
      <c r="AJ21" s="32">
        <f t="shared" si="25"/>
        <v>1</v>
      </c>
      <c r="AK21" s="32" t="b">
        <f t="shared" si="26"/>
        <v>0</v>
      </c>
      <c r="AL21" s="32" t="b">
        <f t="shared" si="27"/>
        <v>0</v>
      </c>
      <c r="AM21" s="32">
        <f t="shared" si="28"/>
        <v>1</v>
      </c>
      <c r="AN21" s="32">
        <f t="shared" si="29"/>
        <v>1</v>
      </c>
      <c r="AO21" s="32" t="b">
        <f t="shared" si="30"/>
        <v>0</v>
      </c>
      <c r="AP21" s="32" t="b">
        <f t="shared" si="31"/>
        <v>0</v>
      </c>
      <c r="AQ21" s="32">
        <f t="shared" si="32"/>
        <v>2</v>
      </c>
      <c r="AR21" s="32">
        <f t="shared" si="33"/>
        <v>2</v>
      </c>
      <c r="AS21" s="32">
        <f t="shared" si="34"/>
        <v>2</v>
      </c>
      <c r="AT21" s="32">
        <f t="shared" si="35"/>
        <v>2</v>
      </c>
      <c r="AU21" s="36" t="str">
        <f>VLOOKUP(R21,S18:T22,2,0)</f>
        <v>Vivaux Sauvagère</v>
      </c>
      <c r="AV21" s="34">
        <f>VLOOKUP(AU21,T18:AE22,12,0)</f>
        <v>5999.9539999999997</v>
      </c>
      <c r="AW21" s="32">
        <f>RANK(AV21,AV18:AV22)</f>
        <v>4</v>
      </c>
      <c r="AX21" s="33" t="str">
        <f t="shared" si="36"/>
        <v>Rousset 2</v>
      </c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</row>
    <row r="22" spans="1:70" ht="15.75" thickBot="1" x14ac:dyDescent="0.3">
      <c r="A22" s="108" t="s">
        <v>9</v>
      </c>
      <c r="B22" s="97">
        <v>2</v>
      </c>
      <c r="C22" s="98">
        <v>3</v>
      </c>
      <c r="D22" s="109" t="s">
        <v>10</v>
      </c>
      <c r="E22" s="110"/>
      <c r="F22" s="111"/>
      <c r="G22" s="61"/>
      <c r="H22" s="55">
        <f t="shared" si="37"/>
        <v>5</v>
      </c>
      <c r="I22" s="16" t="str">
        <f>VLOOKUP(R22,S18:T22,2,0)</f>
        <v>La Tour d'Aigues</v>
      </c>
      <c r="J22" s="56">
        <f>VLOOKUP(I22,T18:AD22,4,0)</f>
        <v>5</v>
      </c>
      <c r="K22" s="56">
        <f>VLOOKUP(I22,T18:AD22,5,0)</f>
        <v>4</v>
      </c>
      <c r="L22" s="56">
        <f>VLOOKUP(I22,T18:AD22,6,0)</f>
        <v>0</v>
      </c>
      <c r="M22" s="56">
        <f>VLOOKUP(I22,T18:AD22,7,0)</f>
        <v>1</v>
      </c>
      <c r="N22" s="56">
        <f>VLOOKUP(I22,T18:AD22,8,0)</f>
        <v>3</v>
      </c>
      <c r="O22" s="56">
        <f>VLOOKUP(I22,T18:AD22,9,0)</f>
        <v>6</v>
      </c>
      <c r="P22" s="56">
        <f>VLOOKUP(I22,T18:AD22,10,0)</f>
        <v>10</v>
      </c>
      <c r="Q22" s="57">
        <f>VLOOKUP(I22,T18:AD22,11,0)</f>
        <v>-4</v>
      </c>
      <c r="R22" s="35">
        <v>5</v>
      </c>
      <c r="S22" s="32">
        <f t="shared" si="19"/>
        <v>4</v>
      </c>
      <c r="T22" s="33" t="str">
        <f>Equipes!A12</f>
        <v>Vivaux Sauvagère</v>
      </c>
      <c r="U22" s="32">
        <f>RANK(AE22,AE18:AE22)</f>
        <v>4</v>
      </c>
      <c r="V22" s="32">
        <f>RANK(AF22,AF18:AF22)</f>
        <v>4</v>
      </c>
      <c r="W22" s="32">
        <f>SUMPRODUCT((A18:A27=T22)*(AG18:AG27))+SUMPRODUCT((D18:D27=T22)*(AH18:AH27))</f>
        <v>6</v>
      </c>
      <c r="X22" s="32">
        <f>SUMPRODUCT((A18:A27=T22)*(AI18:AI27))+SUMPRODUCT((D18:D27=T22)*(AJ18:AJ27))</f>
        <v>4</v>
      </c>
      <c r="Y22" s="32">
        <f>SUMPRODUCT((A18:A27=T22)*(AK18:AK27))+SUMPRODUCT((D18:D27=T22)*(AL18:AL27))</f>
        <v>0</v>
      </c>
      <c r="Z22" s="32">
        <f>SUMPRODUCT((A18:A27=T22)*(AM18:AM27))+SUMPRODUCT((D18:D27=T22)*(AN18:AN27))</f>
        <v>2</v>
      </c>
      <c r="AA22" s="32">
        <f>SUMPRODUCT((A18:A27=T22)*(AO18:AO27))+SUMPRODUCT((D18:D27=T22)*(AP18:AP27))</f>
        <v>2</v>
      </c>
      <c r="AB22" s="32">
        <f>SUMPRODUCT((A18:A27=T22)*(AQ18:AQ27))+SUMPRODUCT((D18:D27=T22)*(AR18:AR27))</f>
        <v>4</v>
      </c>
      <c r="AC22" s="32">
        <f>SUMPRODUCT((A18:A27=T22)*(AS18:AS27))+SUMPRODUCT((D18:D27=T22)*(AT18:AT27))</f>
        <v>9</v>
      </c>
      <c r="AD22" s="32">
        <f t="shared" si="20"/>
        <v>-5</v>
      </c>
      <c r="AE22" s="38">
        <f t="shared" si="21"/>
        <v>5999.9539999999997</v>
      </c>
      <c r="AF22" s="34">
        <f>AE22+0.0000001</f>
        <v>5999.9540000999996</v>
      </c>
      <c r="AG22" s="32">
        <f t="shared" si="22"/>
        <v>1</v>
      </c>
      <c r="AH22" s="32">
        <f t="shared" si="23"/>
        <v>4</v>
      </c>
      <c r="AI22" s="32">
        <f t="shared" si="24"/>
        <v>1</v>
      </c>
      <c r="AJ22" s="32">
        <f t="shared" si="25"/>
        <v>1</v>
      </c>
      <c r="AK22" s="32" t="b">
        <f t="shared" si="26"/>
        <v>0</v>
      </c>
      <c r="AL22" s="32">
        <f t="shared" si="27"/>
        <v>1</v>
      </c>
      <c r="AM22" s="32" t="b">
        <f t="shared" si="28"/>
        <v>0</v>
      </c>
      <c r="AN22" s="32" t="b">
        <f t="shared" si="29"/>
        <v>0</v>
      </c>
      <c r="AO22" s="32">
        <f t="shared" si="30"/>
        <v>1</v>
      </c>
      <c r="AP22" s="32" t="b">
        <f t="shared" si="31"/>
        <v>0</v>
      </c>
      <c r="AQ22" s="32">
        <f t="shared" si="32"/>
        <v>2</v>
      </c>
      <c r="AR22" s="32">
        <f t="shared" si="33"/>
        <v>3</v>
      </c>
      <c r="AS22" s="32">
        <f t="shared" si="34"/>
        <v>3</v>
      </c>
      <c r="AT22" s="32">
        <f t="shared" si="35"/>
        <v>2</v>
      </c>
      <c r="AU22" s="36" t="str">
        <f>VLOOKUP(R22,S18:T22,2,0)</f>
        <v>La Tour d'Aigues</v>
      </c>
      <c r="AV22" s="34">
        <f>VLOOKUP(AU22,T18:AE22,12,0)</f>
        <v>4999.9660000000003</v>
      </c>
      <c r="AW22" s="32">
        <f>RANK(AV22,AV18:AV22)</f>
        <v>5</v>
      </c>
      <c r="AX22" s="33" t="str">
        <f t="shared" si="36"/>
        <v>Vivaux Sauvagère</v>
      </c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</row>
    <row r="23" spans="1:70" x14ac:dyDescent="0.25">
      <c r="A23" s="108" t="s">
        <v>5</v>
      </c>
      <c r="B23" s="97">
        <v>3</v>
      </c>
      <c r="C23" s="98">
        <v>1</v>
      </c>
      <c r="D23" s="109" t="s">
        <v>8</v>
      </c>
      <c r="E23" s="110"/>
      <c r="F23" s="11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32">
        <f t="shared" si="22"/>
        <v>4</v>
      </c>
      <c r="AH23" s="32">
        <f t="shared" si="23"/>
        <v>1</v>
      </c>
      <c r="AI23" s="32">
        <f t="shared" si="24"/>
        <v>1</v>
      </c>
      <c r="AJ23" s="32">
        <f t="shared" si="25"/>
        <v>1</v>
      </c>
      <c r="AK23" s="32">
        <f t="shared" si="26"/>
        <v>1</v>
      </c>
      <c r="AL23" s="32" t="b">
        <f t="shared" si="27"/>
        <v>0</v>
      </c>
      <c r="AM23" s="32" t="b">
        <f t="shared" si="28"/>
        <v>0</v>
      </c>
      <c r="AN23" s="32" t="b">
        <f t="shared" si="29"/>
        <v>0</v>
      </c>
      <c r="AO23" s="32" t="b">
        <f t="shared" si="30"/>
        <v>0</v>
      </c>
      <c r="AP23" s="32">
        <f t="shared" si="31"/>
        <v>1</v>
      </c>
      <c r="AQ23" s="32">
        <f t="shared" si="32"/>
        <v>3</v>
      </c>
      <c r="AR23" s="32">
        <f t="shared" si="33"/>
        <v>1</v>
      </c>
      <c r="AS23" s="32">
        <f t="shared" si="34"/>
        <v>1</v>
      </c>
      <c r="AT23" s="32">
        <f t="shared" si="35"/>
        <v>3</v>
      </c>
      <c r="AU23" s="62"/>
      <c r="AV23" s="61"/>
      <c r="AW23" s="61"/>
      <c r="AX23" s="62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</row>
    <row r="24" spans="1:70" x14ac:dyDescent="0.25">
      <c r="A24" s="108" t="s">
        <v>6</v>
      </c>
      <c r="B24" s="97">
        <v>0</v>
      </c>
      <c r="C24" s="98">
        <v>0</v>
      </c>
      <c r="D24" s="109" t="s">
        <v>9</v>
      </c>
      <c r="E24" s="110"/>
      <c r="F24" s="11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32">
        <f t="shared" si="22"/>
        <v>2</v>
      </c>
      <c r="AH24" s="32">
        <f t="shared" si="23"/>
        <v>2</v>
      </c>
      <c r="AI24" s="32">
        <f t="shared" si="24"/>
        <v>1</v>
      </c>
      <c r="AJ24" s="32">
        <f t="shared" si="25"/>
        <v>1</v>
      </c>
      <c r="AK24" s="32" t="b">
        <f t="shared" si="26"/>
        <v>0</v>
      </c>
      <c r="AL24" s="32" t="b">
        <f t="shared" si="27"/>
        <v>0</v>
      </c>
      <c r="AM24" s="32">
        <f t="shared" si="28"/>
        <v>1</v>
      </c>
      <c r="AN24" s="32">
        <f t="shared" si="29"/>
        <v>1</v>
      </c>
      <c r="AO24" s="32" t="b">
        <f t="shared" si="30"/>
        <v>0</v>
      </c>
      <c r="AP24" s="32" t="b">
        <f t="shared" si="31"/>
        <v>0</v>
      </c>
      <c r="AQ24" s="32">
        <f t="shared" si="32"/>
        <v>0</v>
      </c>
      <c r="AR24" s="32">
        <f t="shared" si="33"/>
        <v>0</v>
      </c>
      <c r="AS24" s="32">
        <f t="shared" si="34"/>
        <v>0</v>
      </c>
      <c r="AT24" s="32">
        <f t="shared" si="35"/>
        <v>0</v>
      </c>
      <c r="AU24" s="62"/>
      <c r="AV24" s="61"/>
      <c r="AW24" s="61"/>
      <c r="AX24" s="62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</row>
    <row r="25" spans="1:70" x14ac:dyDescent="0.25">
      <c r="A25" s="108" t="s">
        <v>10</v>
      </c>
      <c r="B25" s="97">
        <v>2</v>
      </c>
      <c r="C25" s="98">
        <v>1</v>
      </c>
      <c r="D25" s="109" t="s">
        <v>8</v>
      </c>
      <c r="E25" s="110"/>
      <c r="F25" s="11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32">
        <f t="shared" si="22"/>
        <v>4</v>
      </c>
      <c r="AH25" s="32">
        <f t="shared" si="23"/>
        <v>1</v>
      </c>
      <c r="AI25" s="32">
        <f t="shared" si="24"/>
        <v>1</v>
      </c>
      <c r="AJ25" s="32">
        <f t="shared" si="25"/>
        <v>1</v>
      </c>
      <c r="AK25" s="32">
        <f t="shared" si="26"/>
        <v>1</v>
      </c>
      <c r="AL25" s="32" t="b">
        <f t="shared" si="27"/>
        <v>0</v>
      </c>
      <c r="AM25" s="32" t="b">
        <f t="shared" si="28"/>
        <v>0</v>
      </c>
      <c r="AN25" s="32" t="b">
        <f t="shared" si="29"/>
        <v>0</v>
      </c>
      <c r="AO25" s="32" t="b">
        <f t="shared" si="30"/>
        <v>0</v>
      </c>
      <c r="AP25" s="32">
        <f t="shared" si="31"/>
        <v>1</v>
      </c>
      <c r="AQ25" s="32">
        <f t="shared" si="32"/>
        <v>2</v>
      </c>
      <c r="AR25" s="32">
        <f t="shared" si="33"/>
        <v>1</v>
      </c>
      <c r="AS25" s="32">
        <f t="shared" si="34"/>
        <v>1</v>
      </c>
      <c r="AT25" s="32">
        <f t="shared" si="35"/>
        <v>2</v>
      </c>
      <c r="AU25" s="62"/>
      <c r="AV25" s="61"/>
      <c r="AW25" s="61"/>
      <c r="AX25" s="62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</row>
    <row r="26" spans="1:70" x14ac:dyDescent="0.25">
      <c r="A26" s="108" t="s">
        <v>5</v>
      </c>
      <c r="B26" s="97">
        <v>4</v>
      </c>
      <c r="C26" s="98">
        <v>2</v>
      </c>
      <c r="D26" s="109" t="s">
        <v>9</v>
      </c>
      <c r="E26" s="110"/>
      <c r="F26" s="11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32">
        <f t="shared" si="22"/>
        <v>4</v>
      </c>
      <c r="AH26" s="32">
        <f t="shared" si="23"/>
        <v>1</v>
      </c>
      <c r="AI26" s="32">
        <f t="shared" si="24"/>
        <v>1</v>
      </c>
      <c r="AJ26" s="32">
        <f t="shared" si="25"/>
        <v>1</v>
      </c>
      <c r="AK26" s="32">
        <f t="shared" si="26"/>
        <v>1</v>
      </c>
      <c r="AL26" s="32" t="b">
        <f t="shared" si="27"/>
        <v>0</v>
      </c>
      <c r="AM26" s="32" t="b">
        <f t="shared" si="28"/>
        <v>0</v>
      </c>
      <c r="AN26" s="32" t="b">
        <f t="shared" si="29"/>
        <v>0</v>
      </c>
      <c r="AO26" s="32" t="b">
        <f t="shared" si="30"/>
        <v>0</v>
      </c>
      <c r="AP26" s="32">
        <f t="shared" si="31"/>
        <v>1</v>
      </c>
      <c r="AQ26" s="32">
        <f t="shared" si="32"/>
        <v>4</v>
      </c>
      <c r="AR26" s="32">
        <f t="shared" si="33"/>
        <v>2</v>
      </c>
      <c r="AS26" s="32">
        <f t="shared" si="34"/>
        <v>2</v>
      </c>
      <c r="AT26" s="32">
        <f t="shared" si="35"/>
        <v>4</v>
      </c>
      <c r="AU26" s="62"/>
      <c r="AV26" s="61"/>
      <c r="AW26" s="61"/>
      <c r="AX26" s="62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</row>
    <row r="27" spans="1:70" ht="15.75" thickBot="1" x14ac:dyDescent="0.3">
      <c r="A27" s="112" t="s">
        <v>6</v>
      </c>
      <c r="B27" s="99">
        <v>1</v>
      </c>
      <c r="C27" s="113">
        <v>5</v>
      </c>
      <c r="D27" s="114" t="s">
        <v>10</v>
      </c>
      <c r="E27" s="115"/>
      <c r="F27" s="116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32">
        <f t="shared" si="22"/>
        <v>1</v>
      </c>
      <c r="AH27" s="32">
        <f t="shared" si="23"/>
        <v>4</v>
      </c>
      <c r="AI27" s="32">
        <f t="shared" si="24"/>
        <v>1</v>
      </c>
      <c r="AJ27" s="32">
        <f t="shared" si="25"/>
        <v>1</v>
      </c>
      <c r="AK27" s="32" t="b">
        <f t="shared" si="26"/>
        <v>0</v>
      </c>
      <c r="AL27" s="32">
        <f t="shared" si="27"/>
        <v>1</v>
      </c>
      <c r="AM27" s="32" t="b">
        <f t="shared" si="28"/>
        <v>0</v>
      </c>
      <c r="AN27" s="32" t="b">
        <f t="shared" si="29"/>
        <v>0</v>
      </c>
      <c r="AO27" s="32">
        <f t="shared" si="30"/>
        <v>1</v>
      </c>
      <c r="AP27" s="32" t="b">
        <f t="shared" si="31"/>
        <v>0</v>
      </c>
      <c r="AQ27" s="32">
        <f t="shared" si="32"/>
        <v>1</v>
      </c>
      <c r="AR27" s="32">
        <f t="shared" si="33"/>
        <v>5</v>
      </c>
      <c r="AS27" s="32">
        <f t="shared" si="34"/>
        <v>5</v>
      </c>
      <c r="AT27" s="32">
        <f t="shared" si="35"/>
        <v>1</v>
      </c>
      <c r="AU27" s="62"/>
      <c r="AV27" s="61"/>
      <c r="AW27" s="61"/>
      <c r="AX27" s="62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</row>
    <row r="28" spans="1:70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2"/>
      <c r="AV28" s="61"/>
      <c r="AW28" s="61"/>
      <c r="AX28" s="62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</row>
    <row r="29" spans="1:70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2"/>
      <c r="AV29" s="61"/>
      <c r="AW29" s="61"/>
      <c r="AX29" s="62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</row>
    <row r="30" spans="1:70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2"/>
      <c r="AV30" s="61"/>
      <c r="AW30" s="61"/>
      <c r="AX30" s="62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</row>
    <row r="31" spans="1:70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2"/>
      <c r="AV31" s="61"/>
      <c r="AW31" s="61"/>
      <c r="AX31" s="62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</row>
    <row r="32" spans="1:70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2"/>
      <c r="AV32" s="61"/>
      <c r="AW32" s="61"/>
      <c r="AX32" s="62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</row>
    <row r="33" spans="1:70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2"/>
      <c r="AV33" s="61"/>
      <c r="AW33" s="61"/>
      <c r="AX33" s="62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</row>
    <row r="34" spans="1:70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2"/>
      <c r="AV34" s="61"/>
      <c r="AW34" s="61"/>
      <c r="AX34" s="62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</row>
    <row r="35" spans="1:70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2"/>
      <c r="AV35" s="61"/>
      <c r="AW35" s="61"/>
      <c r="AX35" s="62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</row>
    <row r="36" spans="1:70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2"/>
      <c r="AV36" s="61"/>
      <c r="AW36" s="61"/>
      <c r="AX36" s="62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</row>
    <row r="37" spans="1:70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2"/>
      <c r="AV37" s="61"/>
      <c r="AW37" s="61"/>
      <c r="AX37" s="62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</row>
    <row r="38" spans="1:70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2"/>
      <c r="AV38" s="61"/>
      <c r="AW38" s="61"/>
      <c r="AX38" s="62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</row>
    <row r="39" spans="1:70" x14ac:dyDescent="0.25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2"/>
      <c r="AV39" s="61"/>
      <c r="AW39" s="61"/>
      <c r="AX39" s="62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</row>
    <row r="40" spans="1:70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2"/>
      <c r="AV40" s="61"/>
      <c r="AW40" s="61"/>
      <c r="AX40" s="62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</row>
    <row r="41" spans="1:70" x14ac:dyDescent="0.2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2"/>
      <c r="AV41" s="61"/>
      <c r="AW41" s="61"/>
      <c r="AX41" s="62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</row>
    <row r="42" spans="1:70" x14ac:dyDescent="0.25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2"/>
      <c r="AV42" s="61"/>
      <c r="AW42" s="61"/>
      <c r="AX42" s="62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</row>
    <row r="43" spans="1:70" x14ac:dyDescent="0.25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2"/>
      <c r="AV43" s="61"/>
      <c r="AW43" s="61"/>
      <c r="AX43" s="62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</row>
    <row r="44" spans="1:70" x14ac:dyDescent="0.2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2"/>
      <c r="AV44" s="61"/>
      <c r="AW44" s="61"/>
      <c r="AX44" s="62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</row>
    <row r="45" spans="1:70" x14ac:dyDescent="0.2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2"/>
      <c r="AV45" s="61"/>
      <c r="AW45" s="61"/>
      <c r="AX45" s="62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</row>
    <row r="46" spans="1:70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2"/>
      <c r="AV46" s="61"/>
      <c r="AW46" s="61"/>
      <c r="AX46" s="62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</row>
    <row r="47" spans="1:70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2"/>
      <c r="AV47" s="61"/>
      <c r="AW47" s="61"/>
      <c r="AX47" s="62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</row>
    <row r="48" spans="1:70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2"/>
      <c r="AV48" s="61"/>
      <c r="AW48" s="61"/>
      <c r="AX48" s="62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</row>
    <row r="49" spans="1:70" x14ac:dyDescent="0.2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2"/>
      <c r="AV49" s="61"/>
      <c r="AW49" s="61"/>
      <c r="AX49" s="62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</row>
    <row r="50" spans="1:70" x14ac:dyDescent="0.2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2"/>
      <c r="AV50" s="61"/>
      <c r="AW50" s="61"/>
      <c r="AX50" s="62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</row>
    <row r="51" spans="1:70" x14ac:dyDescent="0.2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2"/>
      <c r="AV51" s="61"/>
      <c r="AW51" s="61"/>
      <c r="AX51" s="62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</row>
    <row r="52" spans="1:70" x14ac:dyDescent="0.2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2"/>
      <c r="AV52" s="61"/>
      <c r="AW52" s="61"/>
      <c r="AX52" s="62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</row>
    <row r="53" spans="1:70" x14ac:dyDescent="0.2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2"/>
      <c r="AV53" s="61"/>
      <c r="AW53" s="61"/>
      <c r="AX53" s="62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</row>
    <row r="54" spans="1:70" x14ac:dyDescent="0.2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2"/>
      <c r="AV54" s="61"/>
      <c r="AW54" s="61"/>
      <c r="AX54" s="62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</row>
    <row r="55" spans="1:70" x14ac:dyDescent="0.2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2"/>
      <c r="AV55" s="61"/>
      <c r="AW55" s="61"/>
      <c r="AX55" s="62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</row>
    <row r="56" spans="1:70" x14ac:dyDescent="0.2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2"/>
      <c r="AV56" s="61"/>
      <c r="AW56" s="61"/>
      <c r="AX56" s="62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</row>
  </sheetData>
  <sheetProtection sheet="1" objects="1" scenarios="1"/>
  <mergeCells count="44">
    <mergeCell ref="AU15:AX16"/>
    <mergeCell ref="B17:C17"/>
    <mergeCell ref="R17:S17"/>
    <mergeCell ref="AO15:AO16"/>
    <mergeCell ref="AP15:AP16"/>
    <mergeCell ref="AQ15:AQ16"/>
    <mergeCell ref="AR15:AR16"/>
    <mergeCell ref="AS15:AS16"/>
    <mergeCell ref="AT15:AT16"/>
    <mergeCell ref="AI15:AI16"/>
    <mergeCell ref="AJ15:AJ16"/>
    <mergeCell ref="AK15:AK16"/>
    <mergeCell ref="AL15:AL16"/>
    <mergeCell ref="AM15:AM16"/>
    <mergeCell ref="AN15:AN16"/>
    <mergeCell ref="AU1:AX2"/>
    <mergeCell ref="R1:S2"/>
    <mergeCell ref="T1:AD2"/>
    <mergeCell ref="A15:F16"/>
    <mergeCell ref="H15:Q16"/>
    <mergeCell ref="R15:S16"/>
    <mergeCell ref="T15:AD16"/>
    <mergeCell ref="AE15:AF16"/>
    <mergeCell ref="AG15:AG16"/>
    <mergeCell ref="AH15:AH16"/>
    <mergeCell ref="AO1:AO2"/>
    <mergeCell ref="AP1:AP2"/>
    <mergeCell ref="AQ1:AQ2"/>
    <mergeCell ref="AR1:AR2"/>
    <mergeCell ref="AS1:AS2"/>
    <mergeCell ref="AT1:AT2"/>
    <mergeCell ref="AI1:AI2"/>
    <mergeCell ref="AJ1:AJ2"/>
    <mergeCell ref="AK1:AK2"/>
    <mergeCell ref="AL1:AL2"/>
    <mergeCell ref="AM1:AM2"/>
    <mergeCell ref="AN1:AN2"/>
    <mergeCell ref="B3:C3"/>
    <mergeCell ref="A1:F2"/>
    <mergeCell ref="H1:Q2"/>
    <mergeCell ref="R3:S3"/>
    <mergeCell ref="AH1:AH2"/>
    <mergeCell ref="AG1:AG2"/>
    <mergeCell ref="AE1:AF2"/>
  </mergeCells>
  <dataValidations count="2">
    <dataValidation type="list" allowBlank="1" showInputMessage="1" showErrorMessage="1" sqref="A4:A13 D4:D13" xr:uid="{6985A421-5F89-4075-BB72-EA315E12A9B0}">
      <formula1>Groupe_rouge</formula1>
    </dataValidation>
    <dataValidation type="list" allowBlank="1" showInputMessage="1" showErrorMessage="1" sqref="A18:A27 D18:D27" xr:uid="{4981D7C6-25EA-47CF-A078-2A417B6E423A}">
      <formula1>Groupe_jaune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7525F-4EF8-41BA-9A5E-EB9383F20A16}">
  <sheetPr>
    <tabColor theme="5"/>
  </sheetPr>
  <dimension ref="A1:AA51"/>
  <sheetViews>
    <sheetView workbookViewId="0">
      <selection activeCell="B7" sqref="B7"/>
    </sheetView>
  </sheetViews>
  <sheetFormatPr baseColWidth="10" defaultRowHeight="15" x14ac:dyDescent="0.25"/>
  <cols>
    <col min="1" max="1" width="25.7109375" style="1" customWidth="1"/>
    <col min="2" max="3" width="5.7109375" style="1" customWidth="1"/>
    <col min="4" max="4" width="25.7109375" style="1" customWidth="1"/>
    <col min="5" max="5" width="2.7109375" style="1" customWidth="1"/>
    <col min="6" max="6" width="5.7109375" style="1" bestFit="1" customWidth="1"/>
    <col min="7" max="7" width="25.7109375" style="13" customWidth="1"/>
    <col min="8" max="23" width="11.42578125" style="1"/>
  </cols>
  <sheetData>
    <row r="1" spans="1:27" ht="20.100000000000001" customHeight="1" x14ac:dyDescent="0.25">
      <c r="A1" s="81" t="s">
        <v>34</v>
      </c>
      <c r="B1" s="82"/>
      <c r="C1" s="82"/>
      <c r="D1" s="83"/>
      <c r="E1" s="92"/>
      <c r="F1" s="81" t="s">
        <v>45</v>
      </c>
      <c r="G1" s="82"/>
      <c r="H1" s="83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4"/>
      <c r="Y1" s="94"/>
      <c r="Z1" s="94"/>
      <c r="AA1" s="94"/>
    </row>
    <row r="2" spans="1:27" ht="20.100000000000001" customHeight="1" thickBot="1" x14ac:dyDescent="0.3">
      <c r="A2" s="84"/>
      <c r="B2" s="85"/>
      <c r="C2" s="85"/>
      <c r="D2" s="86"/>
      <c r="E2" s="92"/>
      <c r="F2" s="89"/>
      <c r="G2" s="90"/>
      <c r="H2" s="91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4"/>
      <c r="Y2" s="94"/>
      <c r="Z2" s="94"/>
      <c r="AA2" s="94"/>
    </row>
    <row r="3" spans="1:27" ht="20.100000000000001" customHeight="1" thickBot="1" x14ac:dyDescent="0.3">
      <c r="A3" s="117" t="s">
        <v>11</v>
      </c>
      <c r="B3" s="118" t="s">
        <v>12</v>
      </c>
      <c r="C3" s="118"/>
      <c r="D3" s="119" t="s">
        <v>11</v>
      </c>
      <c r="E3" s="92"/>
      <c r="F3" s="117" t="s">
        <v>17</v>
      </c>
      <c r="G3" s="120" t="s">
        <v>11</v>
      </c>
      <c r="H3" s="119" t="s">
        <v>44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4"/>
      <c r="Y3" s="94"/>
      <c r="Z3" s="94"/>
      <c r="AA3" s="94"/>
    </row>
    <row r="4" spans="1:27" ht="20.100000000000001" customHeight="1" x14ac:dyDescent="0.25">
      <c r="A4" s="17" t="str">
        <f>IF('Résultats et Classements'!K6=4,'Résultats et Classements'!I6,"")</f>
        <v>FC Pourrière</v>
      </c>
      <c r="B4" s="95">
        <v>2</v>
      </c>
      <c r="C4" s="96">
        <v>3</v>
      </c>
      <c r="D4" s="74" t="str">
        <f>IF('Résultats et Classements'!K21=4,'Résultats et Classements'!I21,"")</f>
        <v>Vivaux Sauvagère</v>
      </c>
      <c r="E4" s="92"/>
      <c r="F4" s="72">
        <v>1</v>
      </c>
      <c r="G4" s="18" t="str">
        <f>IF(B22="","",IF(C22="","",IF(B22&gt;C22,A22,D22)))</f>
        <v>Rousset 1</v>
      </c>
      <c r="H4" s="73" t="str">
        <f>IFERROR(VLOOKUP(G4,Equipes!$A$2:$B$12,2,0),"")</f>
        <v>Rouge</v>
      </c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4"/>
      <c r="Y4" s="94"/>
      <c r="Z4" s="94"/>
      <c r="AA4" s="94"/>
    </row>
    <row r="5" spans="1:27" ht="20.100000000000001" customHeight="1" x14ac:dyDescent="0.25">
      <c r="A5" s="14" t="str">
        <f>IF('Résultats et Classements'!K20=4,'Résultats et Classements'!I20,"")</f>
        <v>Gardanne Biver</v>
      </c>
      <c r="B5" s="97">
        <v>2</v>
      </c>
      <c r="C5" s="98">
        <v>1</v>
      </c>
      <c r="D5" s="71" t="str">
        <f>IF('Résultats et Classements'!K7=4,'Résultats et Classements'!I7,"")</f>
        <v>EMH Allauh</v>
      </c>
      <c r="E5" s="92"/>
      <c r="F5" s="69">
        <v>2</v>
      </c>
      <c r="G5" s="15" t="str">
        <f>IF(B22="","",IF(C22="","",IF(B22&gt;C22,D22,A22)))</f>
        <v>Rousset 3</v>
      </c>
      <c r="H5" s="70" t="str">
        <f>IFERROR(VLOOKUP(G5,Equipes!$A$2:$B$12,2,0),"")</f>
        <v>Rouge</v>
      </c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4"/>
      <c r="Y5" s="94"/>
      <c r="Z5" s="94"/>
      <c r="AA5" s="94"/>
    </row>
    <row r="6" spans="1:27" ht="20.100000000000001" customHeight="1" x14ac:dyDescent="0.25">
      <c r="A6" s="14" t="str">
        <f>IF('Résultats et Classements'!K4=4,'Résultats et Classements'!I4,"")</f>
        <v>Rousset 1</v>
      </c>
      <c r="B6" s="97">
        <v>2</v>
      </c>
      <c r="C6" s="98">
        <v>1</v>
      </c>
      <c r="D6" s="71" t="str">
        <f>IF('Résultats et Classements'!K19=4,'Résultats et Classements'!I19,"")</f>
        <v>E</v>
      </c>
      <c r="E6" s="92"/>
      <c r="F6" s="69">
        <v>3</v>
      </c>
      <c r="G6" s="15" t="str">
        <f>IF(B19="","",IF(C19="","",IF(B19&gt;C19,A19,D19)))</f>
        <v>Rousset 2</v>
      </c>
      <c r="H6" s="70" t="str">
        <f>IFERROR(VLOOKUP(G6,Equipes!$A$2:$B$12,2,0),"")</f>
        <v>Jaune</v>
      </c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4"/>
      <c r="Y6" s="94"/>
      <c r="Z6" s="94"/>
      <c r="AA6" s="94"/>
    </row>
    <row r="7" spans="1:27" ht="20.100000000000001" customHeight="1" thickBot="1" x14ac:dyDescent="0.3">
      <c r="A7" s="75" t="str">
        <f>IF('Résultats et Classements'!K18=4,'Résultats et Classements'!I18,"")</f>
        <v>Rousset 2</v>
      </c>
      <c r="B7" s="99" t="s">
        <v>39</v>
      </c>
      <c r="C7" s="100" t="s">
        <v>40</v>
      </c>
      <c r="D7" s="76" t="str">
        <f>IF('Résultats et Classements'!K5=4,'Résultats et Classements'!I5,"")</f>
        <v>Rousset 3</v>
      </c>
      <c r="E7" s="92"/>
      <c r="F7" s="69">
        <v>4</v>
      </c>
      <c r="G7" s="15" t="str">
        <f>IF(B19="","",IF(C19="","",IF(B19&gt;C19,D19,A19)))</f>
        <v>E</v>
      </c>
      <c r="H7" s="70" t="str">
        <f>IFERROR(VLOOKUP(G7,Equipes!$A$2:$B$12,2,0),"")</f>
        <v>Jaune</v>
      </c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4"/>
      <c r="Y7" s="94"/>
      <c r="Z7" s="94"/>
      <c r="AA7" s="94"/>
    </row>
    <row r="8" spans="1:27" ht="20.100000000000001" customHeight="1" x14ac:dyDescent="0.25">
      <c r="A8" s="81" t="s">
        <v>35</v>
      </c>
      <c r="B8" s="82"/>
      <c r="C8" s="82"/>
      <c r="D8" s="83"/>
      <c r="E8" s="92"/>
      <c r="F8" s="69">
        <v>5</v>
      </c>
      <c r="G8" s="15" t="str">
        <f>IF(B16="","",IF(C16="","",IF(B16&gt;C16,A16,D16)))</f>
        <v>Vivaux Sauvagère</v>
      </c>
      <c r="H8" s="70" t="str">
        <f>IFERROR(VLOOKUP(G8,Equipes!$A$2:$B$12,2,0),"")</f>
        <v>Jaune</v>
      </c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4"/>
      <c r="Y8" s="94"/>
      <c r="Z8" s="94"/>
      <c r="AA8" s="94"/>
    </row>
    <row r="9" spans="1:27" ht="20.100000000000001" customHeight="1" thickBot="1" x14ac:dyDescent="0.3">
      <c r="A9" s="84"/>
      <c r="B9" s="85"/>
      <c r="C9" s="85"/>
      <c r="D9" s="86"/>
      <c r="E9" s="92"/>
      <c r="F9" s="69">
        <v>6</v>
      </c>
      <c r="G9" s="15" t="str">
        <f>IF(B16="","",IF(C16="","",IF(B16&gt;C16,D16,A16)))</f>
        <v>Gardanne Biver</v>
      </c>
      <c r="H9" s="70" t="str">
        <f>IFERROR(VLOOKUP(G9,Equipes!$A$2:$B$12,2,0),"")</f>
        <v>Jaune</v>
      </c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4"/>
      <c r="Y9" s="94"/>
      <c r="Z9" s="94"/>
      <c r="AA9" s="94"/>
    </row>
    <row r="10" spans="1:27" ht="20.100000000000001" customHeight="1" thickBot="1" x14ac:dyDescent="0.3">
      <c r="A10" s="77" t="str">
        <f>IF('Résultats et Classements'!K8=4,'Résultats et Classements'!I8,"")</f>
        <v>Alliance Nord Aix 2</v>
      </c>
      <c r="B10" s="101">
        <v>2</v>
      </c>
      <c r="C10" s="102">
        <v>1</v>
      </c>
      <c r="D10" s="78" t="str">
        <f>IF('Résultats et Classements'!K22=4,'Résultats et Classements'!I22,"")</f>
        <v>La Tour d'Aigues</v>
      </c>
      <c r="E10" s="92"/>
      <c r="F10" s="69">
        <v>7</v>
      </c>
      <c r="G10" s="15" t="str">
        <f>IF(B13="","",IF(C13="","",IF(B13&gt;C13,A13,D13)))</f>
        <v>EMH Allauh</v>
      </c>
      <c r="H10" s="70" t="str">
        <f>IFERROR(VLOOKUP(G10,Equipes!$A$2:$B$12,2,0),"")</f>
        <v>Rouge</v>
      </c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4"/>
      <c r="Y10" s="94"/>
      <c r="Z10" s="94"/>
      <c r="AA10" s="94"/>
    </row>
    <row r="11" spans="1:27" ht="20.100000000000001" customHeight="1" x14ac:dyDescent="0.25">
      <c r="A11" s="81" t="s">
        <v>36</v>
      </c>
      <c r="B11" s="82"/>
      <c r="C11" s="82"/>
      <c r="D11" s="83"/>
      <c r="E11" s="92"/>
      <c r="F11" s="69">
        <v>8</v>
      </c>
      <c r="G11" s="15" t="str">
        <f>IF(B13="","",IF(C13="","",IF(B13&gt;C13,D13,A13)))</f>
        <v>FC Pourrière</v>
      </c>
      <c r="H11" s="70" t="str">
        <f>IFERROR(VLOOKUP(G11,Equipes!$A$2:$B$12,2,0),"")</f>
        <v>Rouge</v>
      </c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4"/>
      <c r="Y11" s="94"/>
      <c r="Z11" s="94"/>
      <c r="AA11" s="94"/>
    </row>
    <row r="12" spans="1:27" ht="20.100000000000001" customHeight="1" thickBot="1" x14ac:dyDescent="0.3">
      <c r="A12" s="84"/>
      <c r="B12" s="85"/>
      <c r="C12" s="85"/>
      <c r="D12" s="86"/>
      <c r="E12" s="92"/>
      <c r="F12" s="69">
        <v>9</v>
      </c>
      <c r="G12" s="15" t="str">
        <f>IF(B10="","",IF(C10="","",IF(B10&gt;C10,A10,D10)))</f>
        <v>Alliance Nord Aix 2</v>
      </c>
      <c r="H12" s="70" t="str">
        <f>IFERROR(VLOOKUP(G12,Equipes!$A$2:$B$12,2,0),"")</f>
        <v>Rouge</v>
      </c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4"/>
      <c r="Y12" s="94"/>
      <c r="Z12" s="94"/>
      <c r="AA12" s="94"/>
    </row>
    <row r="13" spans="1:27" ht="20.100000000000001" customHeight="1" thickBot="1" x14ac:dyDescent="0.3">
      <c r="A13" s="77" t="str">
        <f>IF(B4="","",IF(C4="","",IF(B4&gt;C4,D4,A4)))</f>
        <v>FC Pourrière</v>
      </c>
      <c r="B13" s="101">
        <v>1</v>
      </c>
      <c r="C13" s="102">
        <v>3</v>
      </c>
      <c r="D13" s="78" t="str">
        <f>IF(B5="","",IF(C5="","",IF(B5&gt;C5,D5,A5)))</f>
        <v>EMH Allauh</v>
      </c>
      <c r="E13" s="92"/>
      <c r="F13" s="87">
        <v>10</v>
      </c>
      <c r="G13" s="16" t="str">
        <f>IF(B10="","",IF(C10="","",IF(B10&gt;C10,D10,A10)))</f>
        <v>La Tour d'Aigues</v>
      </c>
      <c r="H13" s="88" t="str">
        <f>IFERROR(VLOOKUP(G13,Equipes!$A$2:$B$12,2,0),"")</f>
        <v>Jaune</v>
      </c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4"/>
      <c r="Y13" s="94"/>
      <c r="Z13" s="94"/>
      <c r="AA13" s="94"/>
    </row>
    <row r="14" spans="1:27" ht="20.100000000000001" customHeight="1" x14ac:dyDescent="0.25">
      <c r="A14" s="81" t="s">
        <v>37</v>
      </c>
      <c r="B14" s="82"/>
      <c r="C14" s="82"/>
      <c r="D14" s="83"/>
      <c r="E14" s="92"/>
      <c r="F14" s="92"/>
      <c r="G14" s="93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4"/>
      <c r="Y14" s="94"/>
      <c r="Z14" s="94"/>
      <c r="AA14" s="94"/>
    </row>
    <row r="15" spans="1:27" ht="20.100000000000001" customHeight="1" thickBot="1" x14ac:dyDescent="0.3">
      <c r="A15" s="84"/>
      <c r="B15" s="85"/>
      <c r="C15" s="85"/>
      <c r="D15" s="86"/>
      <c r="E15" s="92"/>
      <c r="F15" s="92"/>
      <c r="G15" s="93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4"/>
      <c r="Y15" s="94"/>
      <c r="Z15" s="94"/>
      <c r="AA15" s="94"/>
    </row>
    <row r="16" spans="1:27" ht="20.100000000000001" customHeight="1" thickBot="1" x14ac:dyDescent="0.3">
      <c r="A16" s="77" t="str">
        <f>IF(B4="","",IF(C4="","",IF(B4&gt;C4,A4,D4)))</f>
        <v>Vivaux Sauvagère</v>
      </c>
      <c r="B16" s="101">
        <v>4</v>
      </c>
      <c r="C16" s="102">
        <v>2</v>
      </c>
      <c r="D16" s="78" t="str">
        <f>IF(B5="","",IF(C5="","",IF(B5&gt;C5,A5,D5)))</f>
        <v>Gardanne Biver</v>
      </c>
      <c r="E16" s="92"/>
      <c r="F16" s="92"/>
      <c r="G16" s="93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4"/>
      <c r="Y16" s="94"/>
      <c r="Z16" s="94"/>
      <c r="AA16" s="94"/>
    </row>
    <row r="17" spans="1:27" ht="20.100000000000001" customHeight="1" x14ac:dyDescent="0.25">
      <c r="A17" s="81" t="s">
        <v>38</v>
      </c>
      <c r="B17" s="82"/>
      <c r="C17" s="82"/>
      <c r="D17" s="83"/>
      <c r="E17" s="92"/>
      <c r="F17" s="92"/>
      <c r="G17" s="93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4"/>
      <c r="Y17" s="94"/>
      <c r="Z17" s="94"/>
      <c r="AA17" s="94"/>
    </row>
    <row r="18" spans="1:27" ht="20.100000000000001" customHeight="1" thickBot="1" x14ac:dyDescent="0.3">
      <c r="A18" s="84"/>
      <c r="B18" s="85"/>
      <c r="C18" s="85"/>
      <c r="D18" s="86"/>
      <c r="E18" s="92"/>
      <c r="F18" s="92"/>
      <c r="G18" s="93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4"/>
      <c r="Y18" s="94"/>
      <c r="Z18" s="94"/>
      <c r="AA18" s="94"/>
    </row>
    <row r="19" spans="1:27" ht="20.100000000000001" customHeight="1" thickBot="1" x14ac:dyDescent="0.3">
      <c r="A19" s="77" t="str">
        <f>IF(B6="","",IF(C6="","",IF(B6&gt;C6,D6,A6)))</f>
        <v>E</v>
      </c>
      <c r="B19" s="101">
        <v>1</v>
      </c>
      <c r="C19" s="102">
        <v>2</v>
      </c>
      <c r="D19" s="78" t="str">
        <f>IF(B7="","",IF(C7="","",IF(B7&gt;C7,D7,A7)))</f>
        <v>Rousset 2</v>
      </c>
      <c r="E19" s="92"/>
      <c r="F19" s="92"/>
      <c r="G19" s="93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4"/>
      <c r="Y19" s="94"/>
      <c r="Z19" s="94"/>
      <c r="AA19" s="94"/>
    </row>
    <row r="20" spans="1:27" ht="20.100000000000001" customHeight="1" x14ac:dyDescent="0.25">
      <c r="A20" s="81" t="s">
        <v>41</v>
      </c>
      <c r="B20" s="82"/>
      <c r="C20" s="82"/>
      <c r="D20" s="83"/>
      <c r="E20" s="92"/>
      <c r="F20" s="92"/>
      <c r="G20" s="93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4"/>
      <c r="Y20" s="94"/>
      <c r="Z20" s="94"/>
      <c r="AA20" s="94"/>
    </row>
    <row r="21" spans="1:27" ht="20.100000000000001" customHeight="1" thickBot="1" x14ac:dyDescent="0.3">
      <c r="A21" s="84"/>
      <c r="B21" s="85"/>
      <c r="C21" s="85"/>
      <c r="D21" s="86"/>
      <c r="E21" s="92"/>
      <c r="F21" s="92"/>
      <c r="G21" s="93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4"/>
      <c r="Y21" s="94"/>
      <c r="Z21" s="94"/>
      <c r="AA21" s="94"/>
    </row>
    <row r="22" spans="1:27" ht="20.100000000000001" customHeight="1" thickBot="1" x14ac:dyDescent="0.3">
      <c r="A22" s="79" t="str">
        <f>IF(B6="","",IF(C6="","",IF(B6&gt;C6,A6,D6)))</f>
        <v>Rousset 1</v>
      </c>
      <c r="B22" s="101">
        <v>5</v>
      </c>
      <c r="C22" s="103">
        <v>4</v>
      </c>
      <c r="D22" s="80" t="str">
        <f>IF(B7="","",IF(C7="","",IF(B7&gt;C7,A7,D7)))</f>
        <v>Rousset 3</v>
      </c>
      <c r="E22" s="92"/>
      <c r="F22" s="92"/>
      <c r="G22" s="93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4"/>
      <c r="Y22" s="94"/>
      <c r="Z22" s="94"/>
      <c r="AA22" s="94"/>
    </row>
    <row r="23" spans="1:27" x14ac:dyDescent="0.25">
      <c r="A23" s="92"/>
      <c r="B23" s="92"/>
      <c r="C23" s="92"/>
      <c r="D23" s="92"/>
      <c r="E23" s="92"/>
      <c r="F23" s="92"/>
      <c r="G23" s="93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4"/>
      <c r="Y23" s="94"/>
      <c r="Z23" s="94"/>
      <c r="AA23" s="94"/>
    </row>
    <row r="24" spans="1:27" x14ac:dyDescent="0.25">
      <c r="A24" s="92"/>
      <c r="B24" s="92"/>
      <c r="C24" s="92"/>
      <c r="D24" s="92"/>
      <c r="E24" s="92"/>
      <c r="F24" s="92"/>
      <c r="G24" s="93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4"/>
      <c r="Y24" s="94"/>
      <c r="Z24" s="94"/>
      <c r="AA24" s="94"/>
    </row>
    <row r="25" spans="1:27" x14ac:dyDescent="0.25">
      <c r="A25" s="92"/>
      <c r="B25" s="92"/>
      <c r="C25" s="92"/>
      <c r="D25" s="92"/>
      <c r="E25" s="92"/>
      <c r="F25" s="92"/>
      <c r="G25" s="93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4"/>
      <c r="Y25" s="94"/>
      <c r="Z25" s="94"/>
      <c r="AA25" s="94"/>
    </row>
    <row r="26" spans="1:27" x14ac:dyDescent="0.25">
      <c r="A26" s="92"/>
      <c r="B26" s="92"/>
      <c r="C26" s="92"/>
      <c r="D26" s="92"/>
      <c r="E26" s="92"/>
      <c r="F26" s="92"/>
      <c r="G26" s="93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4"/>
      <c r="Y26" s="94"/>
      <c r="Z26" s="94"/>
      <c r="AA26" s="94"/>
    </row>
    <row r="27" spans="1:27" x14ac:dyDescent="0.25">
      <c r="A27" s="92"/>
      <c r="B27" s="92"/>
      <c r="C27" s="92"/>
      <c r="D27" s="92"/>
      <c r="E27" s="92"/>
      <c r="F27" s="92"/>
      <c r="G27" s="93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4"/>
      <c r="Y27" s="94"/>
      <c r="Z27" s="94"/>
      <c r="AA27" s="94"/>
    </row>
    <row r="28" spans="1:27" x14ac:dyDescent="0.25">
      <c r="A28" s="92"/>
      <c r="B28" s="92"/>
      <c r="C28" s="92"/>
      <c r="D28" s="92"/>
      <c r="E28" s="92"/>
      <c r="F28" s="92"/>
      <c r="G28" s="93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4"/>
      <c r="Y28" s="94"/>
      <c r="Z28" s="94"/>
      <c r="AA28" s="94"/>
    </row>
    <row r="29" spans="1:27" x14ac:dyDescent="0.25">
      <c r="A29" s="92"/>
      <c r="B29" s="92"/>
      <c r="C29" s="92"/>
      <c r="D29" s="92"/>
      <c r="E29" s="92"/>
      <c r="F29" s="92"/>
      <c r="G29" s="93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4"/>
      <c r="Y29" s="94"/>
      <c r="Z29" s="94"/>
      <c r="AA29" s="94"/>
    </row>
    <row r="30" spans="1:27" x14ac:dyDescent="0.25">
      <c r="A30" s="92"/>
      <c r="B30" s="92"/>
      <c r="C30" s="92"/>
      <c r="D30" s="92"/>
      <c r="E30" s="92"/>
      <c r="F30" s="92"/>
      <c r="G30" s="93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4"/>
      <c r="Y30" s="94"/>
      <c r="Z30" s="94"/>
      <c r="AA30" s="94"/>
    </row>
    <row r="31" spans="1:27" x14ac:dyDescent="0.25">
      <c r="A31" s="92"/>
      <c r="B31" s="92"/>
      <c r="C31" s="92"/>
      <c r="D31" s="92"/>
      <c r="E31" s="92"/>
      <c r="F31" s="92"/>
      <c r="G31" s="93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4"/>
      <c r="Y31" s="94"/>
      <c r="Z31" s="94"/>
      <c r="AA31" s="94"/>
    </row>
    <row r="32" spans="1:27" x14ac:dyDescent="0.25">
      <c r="A32" s="92"/>
      <c r="B32" s="92"/>
      <c r="C32" s="92"/>
      <c r="D32" s="92"/>
      <c r="E32" s="92"/>
      <c r="F32" s="92"/>
      <c r="G32" s="93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4"/>
      <c r="Y32" s="94"/>
      <c r="Z32" s="94"/>
      <c r="AA32" s="94"/>
    </row>
    <row r="33" spans="1:27" x14ac:dyDescent="0.25">
      <c r="A33" s="92"/>
      <c r="B33" s="92"/>
      <c r="C33" s="92"/>
      <c r="D33" s="92"/>
      <c r="E33" s="92"/>
      <c r="F33" s="92"/>
      <c r="G33" s="93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4"/>
      <c r="Y33" s="94"/>
      <c r="Z33" s="94"/>
      <c r="AA33" s="94"/>
    </row>
    <row r="34" spans="1:27" x14ac:dyDescent="0.25">
      <c r="A34" s="92"/>
      <c r="B34" s="92"/>
      <c r="C34" s="92"/>
      <c r="D34" s="92"/>
      <c r="E34" s="92"/>
      <c r="F34" s="92"/>
      <c r="G34" s="93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4"/>
      <c r="Y34" s="94"/>
      <c r="Z34" s="94"/>
      <c r="AA34" s="94"/>
    </row>
    <row r="35" spans="1:27" x14ac:dyDescent="0.25">
      <c r="A35" s="92"/>
      <c r="B35" s="92"/>
      <c r="C35" s="92"/>
      <c r="D35" s="92"/>
      <c r="E35" s="92"/>
      <c r="F35" s="92"/>
      <c r="G35" s="93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4"/>
      <c r="Y35" s="94"/>
      <c r="Z35" s="94"/>
      <c r="AA35" s="94"/>
    </row>
    <row r="36" spans="1:27" x14ac:dyDescent="0.25">
      <c r="A36" s="92"/>
      <c r="B36" s="92"/>
      <c r="C36" s="92"/>
      <c r="D36" s="92"/>
      <c r="E36" s="92"/>
      <c r="F36" s="92"/>
      <c r="G36" s="93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4"/>
      <c r="Y36" s="94"/>
      <c r="Z36" s="94"/>
      <c r="AA36" s="94"/>
    </row>
    <row r="37" spans="1:27" x14ac:dyDescent="0.25">
      <c r="A37" s="92"/>
      <c r="B37" s="92"/>
      <c r="C37" s="92"/>
      <c r="D37" s="92"/>
      <c r="E37" s="92"/>
      <c r="F37" s="92"/>
      <c r="G37" s="93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4"/>
      <c r="Y37" s="94"/>
      <c r="Z37" s="94"/>
      <c r="AA37" s="94"/>
    </row>
    <row r="38" spans="1:27" x14ac:dyDescent="0.25">
      <c r="A38" s="92"/>
      <c r="B38" s="92"/>
      <c r="C38" s="92"/>
      <c r="D38" s="92"/>
      <c r="E38" s="92"/>
      <c r="F38" s="92"/>
      <c r="G38" s="93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4"/>
      <c r="Y38" s="94"/>
      <c r="Z38" s="94"/>
      <c r="AA38" s="94"/>
    </row>
    <row r="39" spans="1:27" x14ac:dyDescent="0.25">
      <c r="A39" s="92"/>
      <c r="B39" s="92"/>
      <c r="C39" s="92"/>
      <c r="D39" s="92"/>
      <c r="E39" s="92"/>
      <c r="F39" s="92"/>
      <c r="G39" s="93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4"/>
      <c r="Y39" s="94"/>
      <c r="Z39" s="94"/>
      <c r="AA39" s="94"/>
    </row>
    <row r="40" spans="1:27" x14ac:dyDescent="0.25">
      <c r="A40" s="92"/>
      <c r="B40" s="92"/>
      <c r="C40" s="92"/>
      <c r="D40" s="92"/>
      <c r="E40" s="92"/>
      <c r="F40" s="92"/>
      <c r="G40" s="93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4"/>
      <c r="Y40" s="94"/>
      <c r="Z40" s="94"/>
      <c r="AA40" s="94"/>
    </row>
    <row r="41" spans="1:27" x14ac:dyDescent="0.25">
      <c r="A41" s="92"/>
      <c r="B41" s="92"/>
      <c r="C41" s="92"/>
      <c r="D41" s="92"/>
      <c r="E41" s="92"/>
      <c r="F41" s="92"/>
      <c r="G41" s="93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4"/>
      <c r="Y41" s="94"/>
      <c r="Z41" s="94"/>
      <c r="AA41" s="94"/>
    </row>
    <row r="42" spans="1:27" x14ac:dyDescent="0.25">
      <c r="A42" s="92"/>
      <c r="B42" s="92"/>
      <c r="C42" s="92"/>
      <c r="D42" s="92"/>
      <c r="E42" s="92"/>
      <c r="F42" s="92"/>
      <c r="G42" s="93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4"/>
      <c r="Y42" s="94"/>
      <c r="Z42" s="94"/>
      <c r="AA42" s="94"/>
    </row>
    <row r="43" spans="1:27" x14ac:dyDescent="0.25">
      <c r="A43" s="92"/>
      <c r="B43" s="92"/>
      <c r="C43" s="92"/>
      <c r="D43" s="92"/>
      <c r="E43" s="92"/>
      <c r="F43" s="92"/>
      <c r="G43" s="93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4"/>
      <c r="Y43" s="94"/>
      <c r="Z43" s="94"/>
      <c r="AA43" s="94"/>
    </row>
    <row r="44" spans="1:27" x14ac:dyDescent="0.25">
      <c r="A44" s="92"/>
      <c r="B44" s="92"/>
      <c r="C44" s="92"/>
      <c r="D44" s="92"/>
      <c r="E44" s="92"/>
      <c r="F44" s="92"/>
      <c r="G44" s="93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4"/>
      <c r="Y44" s="94"/>
      <c r="Z44" s="94"/>
      <c r="AA44" s="94"/>
    </row>
    <row r="45" spans="1:27" x14ac:dyDescent="0.25">
      <c r="A45" s="92"/>
      <c r="B45" s="92"/>
      <c r="C45" s="92"/>
      <c r="D45" s="92"/>
      <c r="E45" s="92"/>
      <c r="F45" s="92"/>
      <c r="G45" s="93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4"/>
      <c r="Y45" s="94"/>
      <c r="Z45" s="94"/>
      <c r="AA45" s="94"/>
    </row>
    <row r="46" spans="1:27" x14ac:dyDescent="0.25">
      <c r="A46" s="92"/>
      <c r="B46" s="92"/>
      <c r="C46" s="92"/>
      <c r="D46" s="92"/>
      <c r="E46" s="92"/>
      <c r="F46" s="92"/>
      <c r="G46" s="93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4"/>
      <c r="Y46" s="94"/>
      <c r="Z46" s="94"/>
      <c r="AA46" s="94"/>
    </row>
    <row r="47" spans="1:27" x14ac:dyDescent="0.25">
      <c r="A47" s="92"/>
      <c r="B47" s="92"/>
      <c r="C47" s="92"/>
      <c r="D47" s="92"/>
      <c r="E47" s="92"/>
      <c r="F47" s="92"/>
      <c r="G47" s="93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4"/>
      <c r="Y47" s="94"/>
      <c r="Z47" s="94"/>
      <c r="AA47" s="94"/>
    </row>
    <row r="48" spans="1:27" x14ac:dyDescent="0.25">
      <c r="A48" s="92"/>
      <c r="B48" s="92"/>
      <c r="C48" s="92"/>
      <c r="D48" s="92"/>
      <c r="E48" s="92"/>
      <c r="F48" s="92"/>
      <c r="G48" s="93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4"/>
      <c r="Y48" s="94"/>
      <c r="Z48" s="94"/>
      <c r="AA48" s="94"/>
    </row>
    <row r="49" spans="1:27" x14ac:dyDescent="0.25">
      <c r="A49" s="92"/>
      <c r="B49" s="92"/>
      <c r="C49" s="92"/>
      <c r="D49" s="92"/>
      <c r="E49" s="92"/>
      <c r="F49" s="92"/>
      <c r="G49" s="93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4"/>
      <c r="Y49" s="94"/>
      <c r="Z49" s="94"/>
      <c r="AA49" s="94"/>
    </row>
    <row r="50" spans="1:27" x14ac:dyDescent="0.25">
      <c r="A50" s="92"/>
      <c r="B50" s="92"/>
      <c r="C50" s="92"/>
      <c r="D50" s="92"/>
      <c r="E50" s="92"/>
      <c r="F50" s="92"/>
      <c r="G50" s="93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4"/>
      <c r="Y50" s="94"/>
      <c r="Z50" s="94"/>
      <c r="AA50" s="94"/>
    </row>
    <row r="51" spans="1:27" x14ac:dyDescent="0.25">
      <c r="A51" s="92"/>
      <c r="B51" s="92"/>
      <c r="C51" s="92"/>
      <c r="D51" s="92"/>
      <c r="E51" s="92"/>
      <c r="F51" s="92"/>
      <c r="G51" s="93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4"/>
      <c r="Y51" s="94"/>
      <c r="Z51" s="94"/>
      <c r="AA51" s="94"/>
    </row>
  </sheetData>
  <sheetProtection sheet="1" objects="1" scenarios="1"/>
  <mergeCells count="8">
    <mergeCell ref="A20:D21"/>
    <mergeCell ref="F1:H2"/>
    <mergeCell ref="B3:C3"/>
    <mergeCell ref="A1:D2"/>
    <mergeCell ref="A8:D9"/>
    <mergeCell ref="A11:D12"/>
    <mergeCell ref="A14:D15"/>
    <mergeCell ref="A17:D18"/>
  </mergeCells>
  <conditionalFormatting sqref="H4:H13">
    <cfRule type="containsText" dxfId="1" priority="1" operator="containsText" text="Rouge">
      <formula>NOT(ISERROR(SEARCH("Rouge",H4)))</formula>
    </cfRule>
    <cfRule type="containsText" dxfId="0" priority="2" operator="containsText" text="Jaune">
      <formula>NOT(ISERROR(SEARCH("Jaune",H4)))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Equipes</vt:lpstr>
      <vt:lpstr>Résultats et Classements</vt:lpstr>
      <vt:lpstr>Phase finale</vt:lpstr>
      <vt:lpstr>Groupe_jaune</vt:lpstr>
      <vt:lpstr>Groupe_rouge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2018-11-30T00:06:04Z</dcterms:created>
  <dcterms:modified xsi:type="dcterms:W3CDTF">2018-11-30T02:14:36Z</dcterms:modified>
</cp:coreProperties>
</file>