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phane.MEDAN\Desktop\documents à mettre en forme Bloc op\Traçabilité\"/>
    </mc:Choice>
  </mc:AlternateContent>
  <bookViews>
    <workbookView xWindow="0" yWindow="0" windowWidth="28800" windowHeight="12435" activeTab="1"/>
  </bookViews>
  <sheets>
    <sheet name="Octobre 2016" sheetId="3" r:id="rId1"/>
    <sheet name="Novembre 2016" sheetId="2" r:id="rId2"/>
    <sheet name="Décembre 2016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6" i="2" l="1"/>
  <c r="L65" i="2"/>
  <c r="K65" i="2"/>
  <c r="L64" i="2"/>
  <c r="K64" i="2"/>
  <c r="L63" i="2"/>
  <c r="K63" i="2"/>
  <c r="L62" i="2"/>
  <c r="K62" i="2"/>
  <c r="L61" i="2"/>
  <c r="K61" i="2"/>
  <c r="L60" i="2"/>
  <c r="K60" i="2"/>
  <c r="L59" i="2"/>
  <c r="K59" i="2"/>
  <c r="L58" i="2"/>
  <c r="K58" i="2"/>
  <c r="L57" i="2"/>
  <c r="K57" i="2"/>
  <c r="L56" i="2"/>
  <c r="K56" i="2"/>
  <c r="L55" i="2"/>
  <c r="K55" i="2"/>
  <c r="L54" i="2"/>
  <c r="K54" i="2"/>
  <c r="L53" i="2"/>
  <c r="K53" i="2"/>
  <c r="L52" i="2"/>
  <c r="K52" i="2"/>
  <c r="L51" i="2"/>
  <c r="K51" i="2"/>
  <c r="L50" i="2"/>
  <c r="K50" i="2"/>
  <c r="L49" i="2"/>
  <c r="K49" i="2"/>
  <c r="L48" i="2"/>
  <c r="K48" i="2"/>
  <c r="L47" i="2"/>
  <c r="K47" i="2"/>
  <c r="L46" i="2"/>
  <c r="K46" i="2"/>
  <c r="L45" i="2"/>
  <c r="K45" i="2"/>
  <c r="L44" i="2"/>
  <c r="K44" i="2"/>
  <c r="L43" i="2"/>
  <c r="K43" i="2"/>
  <c r="L42" i="2"/>
  <c r="K42" i="2"/>
  <c r="L41" i="2"/>
  <c r="K41" i="2"/>
  <c r="L40" i="2"/>
  <c r="K40" i="2"/>
  <c r="L39" i="2"/>
  <c r="K39" i="2"/>
  <c r="L38" i="2"/>
  <c r="K38" i="2"/>
  <c r="L37" i="2"/>
  <c r="K37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L6" i="2"/>
  <c r="K6" i="2"/>
  <c r="L5" i="2"/>
  <c r="K5" i="2"/>
  <c r="L4" i="2"/>
  <c r="K4" i="2"/>
  <c r="L3" i="2"/>
  <c r="K3" i="2"/>
  <c r="L2" i="2"/>
  <c r="L66" i="2" s="1"/>
  <c r="K2" i="2"/>
  <c r="H69" i="2" s="1"/>
  <c r="M54" i="3"/>
  <c r="L53" i="3"/>
  <c r="K53" i="3"/>
  <c r="L52" i="3"/>
  <c r="K52" i="3"/>
  <c r="L51" i="3"/>
  <c r="K51" i="3"/>
  <c r="L50" i="3"/>
  <c r="K50" i="3"/>
  <c r="L49" i="3"/>
  <c r="K49" i="3"/>
  <c r="L48" i="3"/>
  <c r="K48" i="3"/>
  <c r="L47" i="3"/>
  <c r="K47" i="3"/>
  <c r="L46" i="3"/>
  <c r="K46" i="3"/>
  <c r="L45" i="3"/>
  <c r="K45" i="3"/>
  <c r="L44" i="3"/>
  <c r="K44" i="3"/>
  <c r="L43" i="3"/>
  <c r="K43" i="3"/>
  <c r="L42" i="3"/>
  <c r="K42" i="3"/>
  <c r="L41" i="3"/>
  <c r="K41" i="3"/>
  <c r="L40" i="3"/>
  <c r="K40" i="3"/>
  <c r="L39" i="3"/>
  <c r="K39" i="3"/>
  <c r="L38" i="3"/>
  <c r="K38" i="3"/>
  <c r="L37" i="3"/>
  <c r="K37" i="3"/>
  <c r="L36" i="3"/>
  <c r="K36" i="3"/>
  <c r="L35" i="3"/>
  <c r="K35" i="3"/>
  <c r="L34" i="3"/>
  <c r="K34" i="3"/>
  <c r="L33" i="3"/>
  <c r="K33" i="3"/>
  <c r="L32" i="3"/>
  <c r="K32" i="3"/>
  <c r="L31" i="3"/>
  <c r="K31" i="3"/>
  <c r="L30" i="3"/>
  <c r="K30" i="3"/>
  <c r="L29" i="3"/>
  <c r="K29" i="3"/>
  <c r="L28" i="3"/>
  <c r="K28" i="3"/>
  <c r="L27" i="3"/>
  <c r="K27" i="3"/>
  <c r="L26" i="3"/>
  <c r="K26" i="3"/>
  <c r="L25" i="3"/>
  <c r="K25" i="3"/>
  <c r="L24" i="3"/>
  <c r="K24" i="3"/>
  <c r="L23" i="3"/>
  <c r="K23" i="3"/>
  <c r="L22" i="3"/>
  <c r="K22" i="3"/>
  <c r="L21" i="3"/>
  <c r="K21" i="3"/>
  <c r="L20" i="3"/>
  <c r="K20" i="3"/>
  <c r="L19" i="3"/>
  <c r="K19" i="3"/>
  <c r="L18" i="3"/>
  <c r="K18" i="3"/>
  <c r="L17" i="3"/>
  <c r="K17" i="3"/>
  <c r="L16" i="3"/>
  <c r="K16" i="3"/>
  <c r="L15" i="3"/>
  <c r="K15" i="3"/>
  <c r="L14" i="3"/>
  <c r="K14" i="3"/>
  <c r="L13" i="3"/>
  <c r="K13" i="3"/>
  <c r="L12" i="3"/>
  <c r="K12" i="3"/>
  <c r="L11" i="3"/>
  <c r="K11" i="3"/>
  <c r="L10" i="3"/>
  <c r="K10" i="3"/>
  <c r="L9" i="3"/>
  <c r="K9" i="3"/>
  <c r="L8" i="3"/>
  <c r="K8" i="3"/>
  <c r="L7" i="3"/>
  <c r="K7" i="3"/>
  <c r="L6" i="3"/>
  <c r="K6" i="3"/>
  <c r="L5" i="3"/>
  <c r="K5" i="3"/>
  <c r="L4" i="3"/>
  <c r="K4" i="3"/>
  <c r="L3" i="3"/>
  <c r="K3" i="3"/>
  <c r="I57" i="3" s="1"/>
  <c r="L2" i="3"/>
  <c r="L54" i="3" s="1"/>
  <c r="K2" i="3"/>
  <c r="K57" i="3" s="1"/>
  <c r="P103" i="1"/>
  <c r="O103" i="1"/>
  <c r="N103" i="1"/>
  <c r="M103" i="1"/>
  <c r="W102" i="1"/>
  <c r="T102" i="1"/>
  <c r="Q102" i="1"/>
  <c r="U101" i="1"/>
  <c r="T101" i="1"/>
  <c r="Q101" i="1"/>
  <c r="W100" i="1"/>
  <c r="T100" i="1"/>
  <c r="Q100" i="1"/>
  <c r="U99" i="1"/>
  <c r="Q99" i="1"/>
  <c r="W98" i="1"/>
  <c r="Q98" i="1"/>
  <c r="U97" i="1"/>
  <c r="Q97" i="1"/>
  <c r="W96" i="1"/>
  <c r="Q96" i="1"/>
  <c r="U95" i="1"/>
  <c r="Q95" i="1"/>
  <c r="Q103" i="1" s="1"/>
  <c r="N88" i="1"/>
  <c r="E88" i="1"/>
  <c r="D88" i="1"/>
  <c r="M87" i="1"/>
  <c r="D87" i="1"/>
  <c r="G86" i="1"/>
  <c r="D86" i="1"/>
  <c r="G85" i="1"/>
  <c r="D85" i="1"/>
  <c r="G84" i="1"/>
  <c r="D84" i="1"/>
  <c r="G83" i="1"/>
  <c r="D83" i="1"/>
  <c r="G82" i="1"/>
  <c r="D82" i="1"/>
  <c r="G81" i="1"/>
  <c r="D81" i="1"/>
  <c r="D89" i="1" s="1"/>
  <c r="N73" i="1"/>
  <c r="G87" i="1" s="1"/>
  <c r="N72" i="1"/>
  <c r="V102" i="1" s="1"/>
  <c r="N71" i="1"/>
  <c r="Q71" i="1" s="1"/>
  <c r="N70" i="1"/>
  <c r="T95" i="1" s="1"/>
  <c r="K66" i="1"/>
  <c r="G66" i="1"/>
  <c r="P63" i="1"/>
  <c r="V62" i="1"/>
  <c r="P62" i="1"/>
  <c r="O62" i="1"/>
  <c r="M62" i="1"/>
  <c r="J62" i="1"/>
  <c r="Q63" i="1" s="1"/>
  <c r="I62" i="1"/>
  <c r="H62" i="1"/>
  <c r="I63" i="1" s="1"/>
  <c r="E62" i="1"/>
  <c r="X61" i="1"/>
  <c r="W61" i="1"/>
  <c r="V61" i="1"/>
  <c r="U61" i="1"/>
  <c r="T61" i="1"/>
  <c r="O61" i="1"/>
  <c r="L61" i="1"/>
  <c r="K61" i="1"/>
  <c r="X60" i="1"/>
  <c r="W60" i="1"/>
  <c r="V60" i="1"/>
  <c r="U60" i="1"/>
  <c r="T60" i="1"/>
  <c r="O60" i="1"/>
  <c r="L60" i="1"/>
  <c r="K60" i="1"/>
  <c r="X59" i="1"/>
  <c r="W59" i="1"/>
  <c r="V59" i="1"/>
  <c r="U59" i="1"/>
  <c r="T59" i="1"/>
  <c r="O59" i="1"/>
  <c r="L59" i="1"/>
  <c r="K59" i="1"/>
  <c r="X58" i="1"/>
  <c r="W58" i="1"/>
  <c r="V58" i="1"/>
  <c r="U58" i="1"/>
  <c r="T58" i="1"/>
  <c r="O58" i="1"/>
  <c r="L58" i="1"/>
  <c r="K58" i="1"/>
  <c r="X57" i="1"/>
  <c r="W57" i="1"/>
  <c r="V57" i="1"/>
  <c r="U57" i="1"/>
  <c r="T57" i="1"/>
  <c r="O57" i="1"/>
  <c r="L57" i="1"/>
  <c r="K57" i="1"/>
  <c r="X56" i="1"/>
  <c r="W56" i="1"/>
  <c r="V56" i="1"/>
  <c r="U56" i="1"/>
  <c r="T56" i="1"/>
  <c r="O56" i="1"/>
  <c r="L56" i="1"/>
  <c r="K56" i="1"/>
  <c r="X55" i="1"/>
  <c r="W55" i="1"/>
  <c r="V55" i="1"/>
  <c r="U55" i="1"/>
  <c r="T55" i="1"/>
  <c r="O55" i="1"/>
  <c r="L55" i="1"/>
  <c r="K55" i="1"/>
  <c r="X54" i="1"/>
  <c r="W54" i="1"/>
  <c r="V54" i="1"/>
  <c r="U54" i="1"/>
  <c r="T54" i="1"/>
  <c r="O54" i="1"/>
  <c r="L54" i="1"/>
  <c r="K54" i="1"/>
  <c r="X53" i="1"/>
  <c r="W53" i="1"/>
  <c r="V53" i="1"/>
  <c r="U53" i="1"/>
  <c r="T53" i="1"/>
  <c r="O53" i="1"/>
  <c r="L53" i="1"/>
  <c r="K53" i="1"/>
  <c r="X52" i="1"/>
  <c r="W52" i="1"/>
  <c r="V52" i="1"/>
  <c r="U52" i="1"/>
  <c r="T52" i="1"/>
  <c r="O52" i="1"/>
  <c r="L52" i="1"/>
  <c r="K52" i="1"/>
  <c r="X51" i="1"/>
  <c r="W51" i="1"/>
  <c r="V51" i="1"/>
  <c r="U51" i="1"/>
  <c r="T51" i="1"/>
  <c r="O51" i="1"/>
  <c r="L51" i="1"/>
  <c r="K51" i="1"/>
  <c r="X50" i="1"/>
  <c r="W50" i="1"/>
  <c r="V50" i="1"/>
  <c r="U50" i="1"/>
  <c r="T50" i="1"/>
  <c r="O50" i="1"/>
  <c r="L50" i="1"/>
  <c r="K50" i="1"/>
  <c r="X49" i="1"/>
  <c r="W49" i="1"/>
  <c r="V49" i="1"/>
  <c r="U49" i="1"/>
  <c r="T49" i="1"/>
  <c r="O49" i="1"/>
  <c r="L49" i="1"/>
  <c r="K49" i="1"/>
  <c r="X48" i="1"/>
  <c r="W48" i="1"/>
  <c r="V48" i="1"/>
  <c r="U48" i="1"/>
  <c r="T48" i="1"/>
  <c r="O48" i="1"/>
  <c r="L48" i="1"/>
  <c r="K48" i="1"/>
  <c r="X47" i="1"/>
  <c r="W47" i="1"/>
  <c r="V47" i="1"/>
  <c r="U47" i="1"/>
  <c r="T47" i="1"/>
  <c r="O47" i="1"/>
  <c r="L47" i="1"/>
  <c r="K47" i="1"/>
  <c r="X46" i="1"/>
  <c r="W46" i="1"/>
  <c r="V46" i="1"/>
  <c r="U46" i="1"/>
  <c r="T46" i="1"/>
  <c r="O46" i="1"/>
  <c r="L46" i="1"/>
  <c r="K46" i="1"/>
  <c r="X45" i="1"/>
  <c r="W45" i="1"/>
  <c r="V45" i="1"/>
  <c r="U45" i="1"/>
  <c r="T45" i="1"/>
  <c r="O45" i="1"/>
  <c r="L45" i="1"/>
  <c r="K45" i="1"/>
  <c r="X44" i="1"/>
  <c r="W44" i="1"/>
  <c r="V44" i="1"/>
  <c r="U44" i="1"/>
  <c r="T44" i="1"/>
  <c r="O44" i="1"/>
  <c r="L44" i="1"/>
  <c r="K44" i="1"/>
  <c r="X43" i="1"/>
  <c r="W43" i="1"/>
  <c r="V43" i="1"/>
  <c r="U43" i="1"/>
  <c r="T43" i="1"/>
  <c r="O43" i="1"/>
  <c r="L43" i="1"/>
  <c r="K43" i="1"/>
  <c r="X42" i="1"/>
  <c r="W42" i="1"/>
  <c r="V42" i="1"/>
  <c r="U42" i="1"/>
  <c r="T42" i="1"/>
  <c r="O42" i="1"/>
  <c r="L42" i="1"/>
  <c r="K42" i="1"/>
  <c r="X41" i="1"/>
  <c r="W41" i="1"/>
  <c r="V41" i="1"/>
  <c r="U41" i="1"/>
  <c r="T41" i="1"/>
  <c r="O41" i="1"/>
  <c r="L41" i="1"/>
  <c r="K41" i="1"/>
  <c r="X40" i="1"/>
  <c r="W40" i="1"/>
  <c r="V40" i="1"/>
  <c r="U40" i="1"/>
  <c r="T40" i="1"/>
  <c r="O40" i="1"/>
  <c r="L40" i="1"/>
  <c r="K40" i="1"/>
  <c r="X39" i="1"/>
  <c r="W39" i="1"/>
  <c r="V39" i="1"/>
  <c r="U39" i="1"/>
  <c r="T39" i="1"/>
  <c r="O39" i="1"/>
  <c r="L39" i="1"/>
  <c r="K39" i="1"/>
  <c r="X38" i="1"/>
  <c r="W38" i="1"/>
  <c r="V38" i="1"/>
  <c r="U38" i="1"/>
  <c r="T38" i="1"/>
  <c r="O38" i="1"/>
  <c r="L38" i="1"/>
  <c r="K38" i="1"/>
  <c r="X37" i="1"/>
  <c r="W37" i="1"/>
  <c r="V37" i="1"/>
  <c r="U37" i="1"/>
  <c r="T37" i="1"/>
  <c r="O37" i="1"/>
  <c r="L37" i="1"/>
  <c r="K37" i="1"/>
  <c r="X36" i="1"/>
  <c r="W36" i="1"/>
  <c r="V36" i="1"/>
  <c r="U36" i="1"/>
  <c r="T36" i="1"/>
  <c r="O36" i="1"/>
  <c r="L36" i="1"/>
  <c r="K36" i="1"/>
  <c r="F88" i="1" s="1"/>
  <c r="X35" i="1"/>
  <c r="W35" i="1"/>
  <c r="V35" i="1"/>
  <c r="U35" i="1"/>
  <c r="T35" i="1"/>
  <c r="O35" i="1"/>
  <c r="L35" i="1"/>
  <c r="K35" i="1"/>
  <c r="X34" i="1"/>
  <c r="W34" i="1"/>
  <c r="V34" i="1"/>
  <c r="U34" i="1"/>
  <c r="T34" i="1"/>
  <c r="O34" i="1"/>
  <c r="L34" i="1"/>
  <c r="K34" i="1"/>
  <c r="X33" i="1"/>
  <c r="W33" i="1"/>
  <c r="V33" i="1"/>
  <c r="U33" i="1"/>
  <c r="T33" i="1"/>
  <c r="O33" i="1"/>
  <c r="L33" i="1"/>
  <c r="K33" i="1"/>
  <c r="X32" i="1"/>
  <c r="W32" i="1"/>
  <c r="V32" i="1"/>
  <c r="U32" i="1"/>
  <c r="T32" i="1"/>
  <c r="O32" i="1"/>
  <c r="L32" i="1"/>
  <c r="K32" i="1"/>
  <c r="X31" i="1"/>
  <c r="W31" i="1"/>
  <c r="V31" i="1"/>
  <c r="U31" i="1"/>
  <c r="T31" i="1"/>
  <c r="O31" i="1"/>
  <c r="L31" i="1"/>
  <c r="K31" i="1"/>
  <c r="X30" i="1"/>
  <c r="W30" i="1"/>
  <c r="V30" i="1"/>
  <c r="U30" i="1"/>
  <c r="T30" i="1"/>
  <c r="O30" i="1"/>
  <c r="L30" i="1"/>
  <c r="K30" i="1"/>
  <c r="X29" i="1"/>
  <c r="W29" i="1"/>
  <c r="V29" i="1"/>
  <c r="U29" i="1"/>
  <c r="T29" i="1"/>
  <c r="O29" i="1"/>
  <c r="L29" i="1"/>
  <c r="K29" i="1"/>
  <c r="X28" i="1"/>
  <c r="W28" i="1"/>
  <c r="V28" i="1"/>
  <c r="U28" i="1"/>
  <c r="T28" i="1"/>
  <c r="O28" i="1"/>
  <c r="L28" i="1"/>
  <c r="K28" i="1"/>
  <c r="X27" i="1"/>
  <c r="W27" i="1"/>
  <c r="V27" i="1"/>
  <c r="U27" i="1"/>
  <c r="T27" i="1"/>
  <c r="O27" i="1"/>
  <c r="L27" i="1"/>
  <c r="K27" i="1"/>
  <c r="X26" i="1"/>
  <c r="W26" i="1"/>
  <c r="V26" i="1"/>
  <c r="U26" i="1"/>
  <c r="T26" i="1"/>
  <c r="O26" i="1"/>
  <c r="L26" i="1"/>
  <c r="K26" i="1"/>
  <c r="X25" i="1"/>
  <c r="W25" i="1"/>
  <c r="V25" i="1"/>
  <c r="U25" i="1"/>
  <c r="T25" i="1"/>
  <c r="O25" i="1"/>
  <c r="L25" i="1"/>
  <c r="K25" i="1"/>
  <c r="X24" i="1"/>
  <c r="W24" i="1"/>
  <c r="V24" i="1"/>
  <c r="U24" i="1"/>
  <c r="T24" i="1"/>
  <c r="O24" i="1"/>
  <c r="L24" i="1"/>
  <c r="K24" i="1"/>
  <c r="X23" i="1"/>
  <c r="W23" i="1"/>
  <c r="V23" i="1"/>
  <c r="U23" i="1"/>
  <c r="T23" i="1"/>
  <c r="O23" i="1"/>
  <c r="L23" i="1"/>
  <c r="K23" i="1"/>
  <c r="X22" i="1"/>
  <c r="W22" i="1"/>
  <c r="V22" i="1"/>
  <c r="U22" i="1"/>
  <c r="T22" i="1"/>
  <c r="O22" i="1"/>
  <c r="L22" i="1"/>
  <c r="K22" i="1"/>
  <c r="X21" i="1"/>
  <c r="W21" i="1"/>
  <c r="V21" i="1"/>
  <c r="U21" i="1"/>
  <c r="T21" i="1"/>
  <c r="O21" i="1"/>
  <c r="L21" i="1"/>
  <c r="E86" i="1" s="1"/>
  <c r="K21" i="1"/>
  <c r="F86" i="1" s="1"/>
  <c r="X20" i="1"/>
  <c r="W20" i="1"/>
  <c r="V20" i="1"/>
  <c r="U20" i="1"/>
  <c r="T20" i="1"/>
  <c r="O20" i="1"/>
  <c r="L20" i="1"/>
  <c r="K20" i="1"/>
  <c r="X19" i="1"/>
  <c r="W19" i="1"/>
  <c r="V19" i="1"/>
  <c r="U19" i="1"/>
  <c r="T19" i="1"/>
  <c r="O19" i="1"/>
  <c r="L19" i="1"/>
  <c r="K19" i="1"/>
  <c r="X18" i="1"/>
  <c r="W18" i="1"/>
  <c r="V18" i="1"/>
  <c r="U18" i="1"/>
  <c r="T18" i="1"/>
  <c r="O18" i="1"/>
  <c r="L18" i="1"/>
  <c r="K18" i="1"/>
  <c r="X17" i="1"/>
  <c r="W17" i="1"/>
  <c r="V17" i="1"/>
  <c r="U17" i="1"/>
  <c r="T17" i="1"/>
  <c r="O17" i="1"/>
  <c r="L17" i="1"/>
  <c r="K17" i="1"/>
  <c r="X16" i="1"/>
  <c r="W16" i="1"/>
  <c r="V16" i="1"/>
  <c r="U16" i="1"/>
  <c r="T16" i="1"/>
  <c r="O16" i="1"/>
  <c r="L16" i="1"/>
  <c r="K16" i="1"/>
  <c r="X15" i="1"/>
  <c r="W15" i="1"/>
  <c r="V15" i="1"/>
  <c r="U15" i="1"/>
  <c r="T15" i="1"/>
  <c r="O15" i="1"/>
  <c r="L15" i="1"/>
  <c r="E85" i="1" s="1"/>
  <c r="K15" i="1"/>
  <c r="F85" i="1" s="1"/>
  <c r="X14" i="1"/>
  <c r="W14" i="1"/>
  <c r="V14" i="1"/>
  <c r="U14" i="1"/>
  <c r="T14" i="1"/>
  <c r="O14" i="1"/>
  <c r="L14" i="1"/>
  <c r="K14" i="1"/>
  <c r="X13" i="1"/>
  <c r="W13" i="1"/>
  <c r="V13" i="1"/>
  <c r="U13" i="1"/>
  <c r="T13" i="1"/>
  <c r="O13" i="1"/>
  <c r="L13" i="1"/>
  <c r="K13" i="1"/>
  <c r="X12" i="1"/>
  <c r="W12" i="1"/>
  <c r="V12" i="1"/>
  <c r="U12" i="1"/>
  <c r="T12" i="1"/>
  <c r="O12" i="1"/>
  <c r="L12" i="1"/>
  <c r="K12" i="1"/>
  <c r="X11" i="1"/>
  <c r="W11" i="1"/>
  <c r="V11" i="1"/>
  <c r="U11" i="1"/>
  <c r="T11" i="1"/>
  <c r="O11" i="1"/>
  <c r="L11" i="1"/>
  <c r="E81" i="1" s="1"/>
  <c r="K11" i="1"/>
  <c r="F81" i="1" s="1"/>
  <c r="X10" i="1"/>
  <c r="W10" i="1"/>
  <c r="V10" i="1"/>
  <c r="U10" i="1"/>
  <c r="T10" i="1"/>
  <c r="O10" i="1"/>
  <c r="L10" i="1"/>
  <c r="K10" i="1"/>
  <c r="X9" i="1"/>
  <c r="W9" i="1"/>
  <c r="V9" i="1"/>
  <c r="U9" i="1"/>
  <c r="T9" i="1"/>
  <c r="O9" i="1"/>
  <c r="L9" i="1"/>
  <c r="E82" i="1" s="1"/>
  <c r="K9" i="1"/>
  <c r="F82" i="1" s="1"/>
  <c r="X8" i="1"/>
  <c r="W8" i="1"/>
  <c r="V8" i="1"/>
  <c r="U8" i="1"/>
  <c r="T8" i="1"/>
  <c r="O8" i="1"/>
  <c r="L8" i="1"/>
  <c r="E83" i="1" s="1"/>
  <c r="K8" i="1"/>
  <c r="F83" i="1" s="1"/>
  <c r="X7" i="1"/>
  <c r="W7" i="1"/>
  <c r="V7" i="1"/>
  <c r="U7" i="1"/>
  <c r="T7" i="1"/>
  <c r="O7" i="1"/>
  <c r="L7" i="1"/>
  <c r="K7" i="1"/>
  <c r="X6" i="1"/>
  <c r="W6" i="1"/>
  <c r="V6" i="1"/>
  <c r="U6" i="1"/>
  <c r="T6" i="1"/>
  <c r="O6" i="1"/>
  <c r="L6" i="1"/>
  <c r="E84" i="1" s="1"/>
  <c r="K6" i="1"/>
  <c r="F84" i="1" s="1"/>
  <c r="X5" i="1"/>
  <c r="W5" i="1"/>
  <c r="V5" i="1"/>
  <c r="U5" i="1"/>
  <c r="T5" i="1"/>
  <c r="O5" i="1"/>
  <c r="L5" i="1"/>
  <c r="K5" i="1"/>
  <c r="X4" i="1"/>
  <c r="W4" i="1"/>
  <c r="V4" i="1"/>
  <c r="U4" i="1"/>
  <c r="T4" i="1"/>
  <c r="O4" i="1"/>
  <c r="L4" i="1"/>
  <c r="K4" i="1"/>
  <c r="X3" i="1"/>
  <c r="W3" i="1"/>
  <c r="V3" i="1"/>
  <c r="U3" i="1"/>
  <c r="T3" i="1"/>
  <c r="O3" i="1"/>
  <c r="L3" i="1"/>
  <c r="K3" i="1"/>
  <c r="X2" i="1"/>
  <c r="U73" i="1" s="1"/>
  <c r="W2" i="1"/>
  <c r="V2" i="1"/>
  <c r="O89" i="1" s="1"/>
  <c r="U2" i="1"/>
  <c r="U62" i="1" s="1"/>
  <c r="T2" i="1"/>
  <c r="T62" i="1" s="1"/>
  <c r="O2" i="1"/>
  <c r="M88" i="1" s="1"/>
  <c r="L2" i="1"/>
  <c r="O86" i="1" s="1"/>
  <c r="K2" i="1"/>
  <c r="J66" i="1" s="1"/>
  <c r="F69" i="2" l="1"/>
  <c r="K69" i="2"/>
  <c r="E69" i="2"/>
  <c r="I69" i="2"/>
  <c r="K66" i="2"/>
  <c r="J69" i="2"/>
  <c r="G69" i="2"/>
  <c r="H57" i="3"/>
  <c r="E57" i="3"/>
  <c r="K54" i="3"/>
  <c r="F57" i="3"/>
  <c r="J57" i="3"/>
  <c r="G57" i="3"/>
  <c r="T63" i="1"/>
  <c r="X100" i="1"/>
  <c r="K62" i="1"/>
  <c r="V63" i="1"/>
  <c r="H66" i="1"/>
  <c r="U70" i="1"/>
  <c r="U71" i="1"/>
  <c r="U72" i="1"/>
  <c r="M86" i="1"/>
  <c r="E87" i="1"/>
  <c r="E89" i="1" s="1"/>
  <c r="E90" i="1" s="1"/>
  <c r="N87" i="1"/>
  <c r="O88" i="1"/>
  <c r="M89" i="1"/>
  <c r="V95" i="1"/>
  <c r="T96" i="1"/>
  <c r="T103" i="1" s="1"/>
  <c r="V97" i="1"/>
  <c r="T98" i="1"/>
  <c r="V99" i="1"/>
  <c r="V101" i="1"/>
  <c r="O87" i="1"/>
  <c r="G88" i="1"/>
  <c r="N89" i="1"/>
  <c r="W95" i="1"/>
  <c r="U96" i="1"/>
  <c r="U103" i="1" s="1"/>
  <c r="W97" i="1"/>
  <c r="X97" i="1" s="1"/>
  <c r="U98" i="1"/>
  <c r="W99" i="1"/>
  <c r="X99" i="1" s="1"/>
  <c r="U100" i="1"/>
  <c r="W101" i="1"/>
  <c r="X101" i="1" s="1"/>
  <c r="U102" i="1"/>
  <c r="X102" i="1" s="1"/>
  <c r="L62" i="1"/>
  <c r="E66" i="1"/>
  <c r="I66" i="1"/>
  <c r="N74" i="1"/>
  <c r="T99" i="1" s="1"/>
  <c r="N86" i="1"/>
  <c r="F87" i="1"/>
  <c r="F89" i="1" s="1"/>
  <c r="F90" i="1" s="1"/>
  <c r="F66" i="1"/>
  <c r="Q70" i="1"/>
  <c r="Q72" i="1"/>
  <c r="Q73" i="1"/>
  <c r="V96" i="1"/>
  <c r="X96" i="1" s="1"/>
  <c r="T97" i="1"/>
  <c r="V98" i="1"/>
  <c r="X98" i="1" s="1"/>
  <c r="V100" i="1"/>
  <c r="L69" i="2" l="1"/>
  <c r="J70" i="2" s="1"/>
  <c r="G58" i="3"/>
  <c r="L57" i="3"/>
  <c r="J58" i="3"/>
  <c r="H58" i="3"/>
  <c r="H67" i="1"/>
  <c r="E67" i="1"/>
  <c r="L66" i="1"/>
  <c r="F67" i="1"/>
  <c r="X95" i="1"/>
  <c r="W103" i="1"/>
  <c r="Q74" i="1"/>
  <c r="S71" i="1" s="1"/>
  <c r="V103" i="1"/>
  <c r="U74" i="1"/>
  <c r="F70" i="2" l="1"/>
  <c r="K70" i="2"/>
  <c r="L70" i="2"/>
  <c r="H70" i="2"/>
  <c r="I70" i="2"/>
  <c r="E70" i="2"/>
  <c r="G70" i="2"/>
  <c r="L58" i="3"/>
  <c r="I58" i="3"/>
  <c r="K58" i="3"/>
  <c r="F58" i="3"/>
  <c r="E58" i="3"/>
  <c r="S70" i="1"/>
  <c r="S72" i="1"/>
  <c r="S73" i="1"/>
  <c r="X103" i="1"/>
  <c r="L67" i="1"/>
  <c r="G67" i="1"/>
  <c r="J67" i="1"/>
  <c r="K67" i="1"/>
  <c r="I67" i="1"/>
</calcChain>
</file>

<file path=xl/sharedStrings.xml><?xml version="1.0" encoding="utf-8"?>
<sst xmlns="http://schemas.openxmlformats.org/spreadsheetml/2006/main" count="330" uniqueCount="167">
  <si>
    <t>Date  
JJ/MM/AAAA</t>
  </si>
  <si>
    <t>salle</t>
  </si>
  <si>
    <t>intervention</t>
  </si>
  <si>
    <t>Chirurgien</t>
  </si>
  <si>
    <t>Entrée de salle</t>
  </si>
  <si>
    <t>Induction</t>
  </si>
  <si>
    <t>Incision</t>
  </si>
  <si>
    <t>Fermeture</t>
  </si>
  <si>
    <t>Sortie de salle/ER</t>
  </si>
  <si>
    <t>Sortie reveil</t>
  </si>
  <si>
    <t>temps opératoire</t>
  </si>
  <si>
    <t>temps d'occupation de salle</t>
  </si>
  <si>
    <t>Colonne1</t>
  </si>
  <si>
    <t>nombre de salles d'op</t>
  </si>
  <si>
    <t>temps reveil</t>
  </si>
  <si>
    <t>amplitude horraire</t>
  </si>
  <si>
    <t>heure de sortie</t>
  </si>
  <si>
    <t>occupation salle</t>
  </si>
  <si>
    <t>jour</t>
  </si>
  <si>
    <t>debordement reveil</t>
  </si>
  <si>
    <t>debordement salle</t>
  </si>
  <si>
    <t>temps entre interventions</t>
  </si>
  <si>
    <t>Colonne2</t>
  </si>
  <si>
    <t>Colonne3</t>
  </si>
  <si>
    <t>pm lps</t>
  </si>
  <si>
    <t>jeudi</t>
  </si>
  <si>
    <t>lift lps main et visage</t>
  </si>
  <si>
    <t>ear fold</t>
  </si>
  <si>
    <t>lobe oreilles</t>
  </si>
  <si>
    <t>4paup</t>
  </si>
  <si>
    <t>lundi</t>
  </si>
  <si>
    <t>paup inf</t>
  </si>
  <si>
    <t>lift peeling</t>
  </si>
  <si>
    <t>lift lps visage</t>
  </si>
  <si>
    <t>mardi</t>
  </si>
  <si>
    <t>lipo</t>
  </si>
  <si>
    <t>rhino</t>
  </si>
  <si>
    <t>lift bras</t>
  </si>
  <si>
    <t>pm lps seins et visage</t>
  </si>
  <si>
    <t>pm lift paup sup</t>
  </si>
  <si>
    <t>mercredi</t>
  </si>
  <si>
    <t>paup sup</t>
  </si>
  <si>
    <t>ablation clip oreilles</t>
  </si>
  <si>
    <t>chgt pm lps seins</t>
  </si>
  <si>
    <t>lift paup sup</t>
  </si>
  <si>
    <t>lift lps visage lift levre</t>
  </si>
  <si>
    <t>paup sup lps visage</t>
  </si>
  <si>
    <t>ablation kyste</t>
  </si>
  <si>
    <t>ablation pm plastie</t>
  </si>
  <si>
    <t>lipo ablation pm lps seins</t>
  </si>
  <si>
    <t>pm lipo lps seins</t>
  </si>
  <si>
    <t>lipo lps fesses</t>
  </si>
  <si>
    <t>lipo lps fesses plastie mammaire</t>
  </si>
  <si>
    <t>pm cic abdo</t>
  </si>
  <si>
    <t>chgt pm lps seins et visage ret rhino</t>
  </si>
  <si>
    <t>lcf</t>
  </si>
  <si>
    <t>lipo lps visage et seins</t>
  </si>
  <si>
    <t>lipo lps seins</t>
  </si>
  <si>
    <t>chgt pm lipo lps seins</t>
  </si>
  <si>
    <t>pm</t>
  </si>
  <si>
    <t>cic flancs pm lift lps visage</t>
  </si>
  <si>
    <t>lipo lift lps visage pointe de nez</t>
  </si>
  <si>
    <t>chgt pm</t>
  </si>
  <si>
    <t>lift lps levres</t>
  </si>
  <si>
    <t>lift bras cuisses cic ventre</t>
  </si>
  <si>
    <t>lipo abdo plastie mammaire</t>
  </si>
  <si>
    <t>evacuation hematome</t>
  </si>
  <si>
    <t>naevus levre</t>
  </si>
  <si>
    <t>plastie mammaire lps</t>
  </si>
  <si>
    <t>lps visage</t>
  </si>
  <si>
    <t>reprise hematome lift</t>
  </si>
  <si>
    <t>earfold</t>
  </si>
  <si>
    <t>Temps opératoire</t>
  </si>
  <si>
    <t>Total</t>
  </si>
  <si>
    <t>Nombre d'interventions</t>
  </si>
  <si>
    <t>Pourcentage</t>
  </si>
  <si>
    <t>Jour</t>
  </si>
  <si>
    <t>nombre</t>
  </si>
  <si>
    <t>total</t>
  </si>
  <si>
    <t>H bloc</t>
  </si>
  <si>
    <t>H reveil</t>
  </si>
  <si>
    <t>Nombre de patients</t>
  </si>
  <si>
    <t>temps occupation de salle</t>
  </si>
  <si>
    <t>Plage opératoire</t>
  </si>
  <si>
    <t>Moyenne</t>
  </si>
  <si>
    <t>Ecart type</t>
  </si>
  <si>
    <t>Medianne</t>
  </si>
  <si>
    <t>Temps occupation de salle</t>
  </si>
  <si>
    <t>Temps passé au reveil</t>
  </si>
  <si>
    <t>Temps entre deux patients</t>
  </si>
  <si>
    <t>Sortie de salle</t>
  </si>
  <si>
    <t>lift paup inf</t>
  </si>
  <si>
    <t>PA</t>
  </si>
  <si>
    <t>lipo cou lps visage</t>
  </si>
  <si>
    <t>lift crural lift bras PA retouche œil G</t>
  </si>
  <si>
    <t>Round block lps seins visage</t>
  </si>
  <si>
    <t>chgt PM lipo lps seins</t>
  </si>
  <si>
    <t>bride axillaire gauche lps</t>
  </si>
  <si>
    <t>cgt pm round b lps seins et visage</t>
  </si>
  <si>
    <t>lps main et scalp</t>
  </si>
  <si>
    <t>4 paup lps visage</t>
  </si>
  <si>
    <t>Plastie M</t>
  </si>
  <si>
    <t>PM</t>
  </si>
  <si>
    <t>PM lps seins</t>
  </si>
  <si>
    <t>plastie M</t>
  </si>
  <si>
    <t>Plastie M lipo lps seins paup sup</t>
  </si>
  <si>
    <t>Lipo pm lps seins et visage</t>
  </si>
  <si>
    <t>Lipo PM lps seins</t>
  </si>
  <si>
    <t>Rhino</t>
  </si>
  <si>
    <t>PA pm lps</t>
  </si>
  <si>
    <t>oreilles D</t>
  </si>
  <si>
    <t>lipo mini pa reprise cic lift oreilles paup</t>
  </si>
  <si>
    <t>Lipo cuisses paup sup lift</t>
  </si>
  <si>
    <t>macrolane fesses</t>
  </si>
  <si>
    <t>lipo lps fesses et visage</t>
  </si>
  <si>
    <t>plastie seins plastie cuisses</t>
  </si>
  <si>
    <t>lipo pm lps seins</t>
  </si>
  <si>
    <t>chgt pm gauche</t>
  </si>
  <si>
    <t>plastie M macrolane fesses lps seins</t>
  </si>
  <si>
    <t>greffe cheveux</t>
  </si>
  <si>
    <t>chgt pm PA lps visage</t>
  </si>
  <si>
    <t>hematome</t>
  </si>
  <si>
    <t xml:space="preserve">chgt PM  </t>
  </si>
  <si>
    <t>lps fesse lipo</t>
  </si>
  <si>
    <t>lps main droite</t>
  </si>
  <si>
    <t>ret oreille gauche</t>
  </si>
  <si>
    <t>od</t>
  </si>
  <si>
    <t>lipo nympho lps</t>
  </si>
  <si>
    <t>plastie mammaire</t>
  </si>
  <si>
    <t>4paup lps visage</t>
  </si>
  <si>
    <t>4paup lps visage naevus</t>
  </si>
  <si>
    <t>lesion paup inf droite</t>
  </si>
  <si>
    <t>rhino génio</t>
  </si>
  <si>
    <t>baso</t>
  </si>
  <si>
    <t>lift paup inf baso</t>
  </si>
  <si>
    <t>lipo lps seins PA rhino</t>
  </si>
  <si>
    <t>lift + levres</t>
  </si>
  <si>
    <t>paup inf baso</t>
  </si>
  <si>
    <t>p lipo lps seins</t>
  </si>
  <si>
    <t>lift paup2</t>
  </si>
  <si>
    <t>lift</t>
  </si>
  <si>
    <t>kyste epaule droite</t>
  </si>
  <si>
    <t>chgt pm lipo lps fesses seins et visage</t>
  </si>
  <si>
    <t>lipo lps seins reprise cic</t>
  </si>
  <si>
    <t>lipo lps visage</t>
  </si>
  <si>
    <t>lift levre</t>
  </si>
  <si>
    <t>lipo chgt pm lps visage et seins</t>
  </si>
  <si>
    <t>chgt pm lps PA</t>
  </si>
  <si>
    <t>rhino cartilage oreille lps</t>
  </si>
  <si>
    <t>lipo lps levres et seins paup sup nympho</t>
  </si>
  <si>
    <t>rhino lps</t>
  </si>
  <si>
    <t>OD</t>
  </si>
  <si>
    <t>plastie mammaire 4p lps visage</t>
  </si>
  <si>
    <t>lipo chgt pm lps seins visage 4paup</t>
  </si>
  <si>
    <t>p4 lps visage</t>
  </si>
  <si>
    <t>retouche nez</t>
  </si>
  <si>
    <t>lifting</t>
  </si>
  <si>
    <t>reprise ombilic</t>
  </si>
  <si>
    <t>clip oreilles</t>
  </si>
  <si>
    <t>pm lps seins visage macrolane fesses</t>
  </si>
  <si>
    <t>lps visage naevus</t>
  </si>
  <si>
    <t>lipo lps seins visage lift</t>
  </si>
  <si>
    <t>retouche sein gauche</t>
  </si>
  <si>
    <t>4 paup</t>
  </si>
  <si>
    <t>rhino lps seins</t>
  </si>
  <si>
    <t>lift temporal 4paup</t>
  </si>
  <si>
    <t>retouche oreille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</si>
</sst>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h:mm;@"/>
    <numFmt numFmtId="166" formatCode="[h]:mm:ss;@"/>
    <numFmt numFmtId="167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  <scheme val="minor"/>
    </font>
    <font>
      <sz val="11"/>
      <color rgb="FF44444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1BFC1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theme="4" tint="0.39997558519241921"/>
      </left>
      <right/>
      <top style="thin">
        <color theme="4"/>
      </top>
      <bottom style="thin">
        <color theme="4" tint="0.39997558519241921"/>
      </bottom>
      <diagonal/>
    </border>
    <border>
      <left/>
      <right/>
      <top style="thin">
        <color theme="4"/>
      </top>
      <bottom style="thin">
        <color theme="4" tint="0.39997558519241921"/>
      </bottom>
      <diagonal/>
    </border>
    <border>
      <left/>
      <right style="thin">
        <color theme="4"/>
      </right>
      <top style="thin">
        <color theme="4"/>
      </top>
      <bottom style="thin">
        <color theme="4" tint="0.39997558519241921"/>
      </bottom>
      <diagonal/>
    </border>
    <border>
      <left/>
      <right style="thin">
        <color theme="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165" fontId="0" fillId="5" borderId="0" xfId="0" applyNumberFormat="1" applyFill="1" applyAlignment="1">
      <alignment horizontal="center" vertical="center"/>
    </xf>
    <xf numFmtId="20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165" fontId="0" fillId="6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7" borderId="0" xfId="0" applyNumberFormat="1" applyFill="1" applyAlignment="1">
      <alignment horizontal="center" vertical="center"/>
    </xf>
    <xf numFmtId="20" fontId="0" fillId="8" borderId="0" xfId="0" applyNumberForma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9" borderId="0" xfId="0" applyNumberFormat="1" applyFill="1" applyAlignment="1">
      <alignment horizontal="center" vertical="center"/>
    </xf>
    <xf numFmtId="165" fontId="0" fillId="10" borderId="0" xfId="0" applyNumberFormat="1" applyFill="1" applyAlignment="1">
      <alignment horizontal="center" vertical="center"/>
    </xf>
    <xf numFmtId="165" fontId="0" fillId="11" borderId="0" xfId="0" applyNumberFormat="1" applyFill="1" applyAlignment="1">
      <alignment horizontal="center" vertical="center"/>
    </xf>
    <xf numFmtId="165" fontId="0" fillId="12" borderId="0" xfId="0" applyNumberFormat="1" applyFill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20" fontId="1" fillId="13" borderId="7" xfId="0" applyNumberFormat="1" applyFont="1" applyFill="1" applyBorder="1" applyAlignment="1">
      <alignment horizontal="center" vertical="center"/>
    </xf>
    <xf numFmtId="20" fontId="1" fillId="13" borderId="8" xfId="0" applyNumberFormat="1" applyFont="1" applyFill="1" applyBorder="1" applyAlignment="1">
      <alignment horizontal="center" vertical="center"/>
    </xf>
    <xf numFmtId="20" fontId="1" fillId="13" borderId="9" xfId="0" applyNumberFormat="1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/>
    </xf>
    <xf numFmtId="0" fontId="1" fillId="14" borderId="12" xfId="0" applyFont="1" applyFill="1" applyBorder="1" applyAlignment="1">
      <alignment horizontal="center" vertical="center"/>
    </xf>
    <xf numFmtId="0" fontId="1" fillId="14" borderId="13" xfId="0" applyFont="1" applyFill="1" applyBorder="1" applyAlignment="1">
      <alignment horizontal="center" vertical="center"/>
    </xf>
    <xf numFmtId="0" fontId="1" fillId="14" borderId="14" xfId="0" applyFont="1" applyFill="1" applyBorder="1" applyAlignment="1">
      <alignment horizontal="center" vertical="center"/>
    </xf>
    <xf numFmtId="167" fontId="1" fillId="14" borderId="15" xfId="0" applyNumberFormat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4" fontId="0" fillId="0" borderId="0" xfId="0" applyNumberFormat="1"/>
    <xf numFmtId="20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13" borderId="6" xfId="0" applyFont="1" applyFill="1" applyBorder="1" applyAlignment="1">
      <alignment horizontal="center"/>
    </xf>
    <xf numFmtId="20" fontId="1" fillId="13" borderId="7" xfId="0" applyNumberFormat="1" applyFont="1" applyFill="1" applyBorder="1" applyAlignment="1">
      <alignment horizontal="center"/>
    </xf>
    <xf numFmtId="20" fontId="1" fillId="13" borderId="8" xfId="0" applyNumberFormat="1" applyFont="1" applyFill="1" applyBorder="1" applyAlignment="1">
      <alignment horizontal="center"/>
    </xf>
    <xf numFmtId="20" fontId="1" fillId="13" borderId="9" xfId="0" applyNumberFormat="1" applyFont="1" applyFill="1" applyBorder="1" applyAlignment="1">
      <alignment horizontal="center"/>
    </xf>
    <xf numFmtId="0" fontId="1" fillId="13" borderId="10" xfId="0" applyFont="1" applyFill="1" applyBorder="1" applyAlignment="1">
      <alignment horizontal="center"/>
    </xf>
    <xf numFmtId="0" fontId="1" fillId="14" borderId="6" xfId="0" applyFont="1" applyFill="1" applyBorder="1" applyAlignment="1">
      <alignment horizontal="center"/>
    </xf>
    <xf numFmtId="0" fontId="1" fillId="14" borderId="11" xfId="0" applyFont="1" applyFill="1" applyBorder="1" applyAlignment="1">
      <alignment horizontal="center"/>
    </xf>
    <xf numFmtId="0" fontId="1" fillId="14" borderId="12" xfId="0" applyFont="1" applyFill="1" applyBorder="1" applyAlignment="1">
      <alignment horizontal="center"/>
    </xf>
    <xf numFmtId="0" fontId="1" fillId="14" borderId="13" xfId="0" applyFont="1" applyFill="1" applyBorder="1" applyAlignment="1">
      <alignment horizontal="center"/>
    </xf>
    <xf numFmtId="0" fontId="1" fillId="14" borderId="14" xfId="0" applyFont="1" applyFill="1" applyBorder="1" applyAlignment="1">
      <alignment horizontal="center"/>
    </xf>
    <xf numFmtId="167" fontId="1" fillId="14" borderId="15" xfId="0" applyNumberFormat="1" applyFont="1" applyFill="1" applyBorder="1" applyAlignment="1">
      <alignment horizontal="center"/>
    </xf>
  </cellXfs>
  <cellStyles count="1">
    <cellStyle name="Normal" xfId="0" builtinId="0"/>
  </cellStyles>
  <dxfs count="94">
    <dxf>
      <numFmt numFmtId="166" formatCode="[h]:mm:ss;@"/>
    </dxf>
    <dxf>
      <numFmt numFmtId="166" formatCode="[h]:mm:ss;@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19" formatCode="dd/mm/yyyy"/>
    </dxf>
    <dxf>
      <numFmt numFmtId="166" formatCode="[h]:mm:ss;@"/>
    </dxf>
    <dxf>
      <numFmt numFmtId="166" formatCode="[h]:mm:ss;@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19" formatCode="dd/mm/yyyy"/>
    </dxf>
    <dxf>
      <numFmt numFmtId="165" formatCode="h:mm;@"/>
    </dxf>
    <dxf>
      <numFmt numFmtId="165" formatCode="h:mm;@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19" formatCode="dd/mm/yyyy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numFmt numFmtId="165" formatCode="h:mm;@"/>
    </dxf>
    <dxf>
      <numFmt numFmtId="165" formatCode="h:mm;@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19" formatCode="dd/mm/yyyy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6" formatCode="[h]:mm:ss;@"/>
      <alignment horizontal="center" vertical="center" textRotation="0" wrapText="0" indent="0" justifyLastLine="0" shrinkToFit="0" readingOrder="0"/>
    </dxf>
    <dxf>
      <numFmt numFmtId="166" formatCode="[h]:mm:ss;@"/>
      <alignment horizontal="center" vertical="center" textRotation="0" wrapText="0" indent="0" justifyLastLine="0" shrinkToFit="0" readingOrder="0"/>
    </dxf>
    <dxf>
      <numFmt numFmtId="25" formatCode="hh:mm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25" formatCode="hh:mm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25" formatCode="hh:mm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30" formatCode="@"/>
      <alignment horizontal="center" vertical="center" textRotation="0" indent="0" justifyLastLine="0" shrinkToFit="0" readingOrder="0"/>
    </dxf>
    <dxf>
      <numFmt numFmtId="165" formatCode="h:mm;@"/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</dxf>
    <dxf>
      <numFmt numFmtId="165" formatCode="h:mm;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numFmt numFmtId="165" formatCode="h:mm;@"/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</dxf>
    <dxf>
      <numFmt numFmtId="165" formatCode="h:mm;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5" formatCode="h:mm;@"/>
      <alignment horizontal="center" vertical="center" textRotation="0" indent="0" justifyLastLine="0" shrinkToFit="0" readingOrder="0"/>
    </dxf>
    <dxf>
      <numFmt numFmtId="165" formatCode="h:mm;@"/>
      <alignment horizontal="center" vertical="center" textRotation="0" indent="0" justifyLastLine="0" shrinkToFit="0" readingOrder="0"/>
    </dxf>
    <dxf>
      <numFmt numFmtId="25" formatCode="hh:mm"/>
      <alignment horizontal="center" vertical="center" textRotation="0" indent="0" justifyLastLine="0" shrinkToFit="0" readingOrder="0"/>
    </dxf>
    <dxf>
      <numFmt numFmtId="25" formatCode="hh:mm"/>
      <alignment horizontal="center" vertical="center" textRotation="0" indent="0" justifyLastLine="0" shrinkToFit="0" readingOrder="0"/>
    </dxf>
    <dxf>
      <numFmt numFmtId="25" formatCode="hh:mm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4" formatCode="[$-F800]dddd\,\ mmmm\ dd\,\ yyyy"/>
      <alignment horizontal="center" vertical="center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42" displayName="Tableau42" ref="A1:M54" totalsRowCount="1" headerRowDxfId="39" headerRowBorderDxfId="38">
  <autoFilter ref="A1:M53"/>
  <tableColumns count="13">
    <tableColumn id="1" name="Date  _x000a_JJ/MM/AAAA" dataDxfId="37" totalsRowDxfId="8"/>
    <tableColumn id="2" name="salle"/>
    <tableColumn id="3" name="intervention"/>
    <tableColumn id="4" name="Chirurgien"/>
    <tableColumn id="5" name="Entrée de salle" dataDxfId="36" totalsRowDxfId="7"/>
    <tableColumn id="6" name="Induction" dataDxfId="35" totalsRowDxfId="6"/>
    <tableColumn id="7" name="Incision" dataDxfId="34" totalsRowDxfId="5"/>
    <tableColumn id="8" name="Fermeture" dataDxfId="33" totalsRowDxfId="4"/>
    <tableColumn id="9" name="Sortie de salle" dataDxfId="32" totalsRowDxfId="3"/>
    <tableColumn id="10" name="Sortie reveil" dataDxfId="31" totalsRowDxfId="2"/>
    <tableColumn id="11" name="temps opératoire" totalsRowFunction="sum" dataDxfId="30" totalsRowDxfId="1">
      <calculatedColumnFormula>Tableau42[[#This Row],[Fermeture]]-Tableau42[[#This Row],[Incision]]</calculatedColumnFormula>
    </tableColumn>
    <tableColumn id="12" name="temps d'occupation de salle" totalsRowFunction="sum" dataDxfId="29" totalsRowDxfId="0">
      <calculatedColumnFormula>Tableau42[[#This Row],[Sortie de salle]]-Tableau42[[#This Row],[Entrée de salle]]</calculatedColumnFormula>
    </tableColumn>
    <tableColumn id="13" name="Colonne1" totalsRowFunction="su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au43" displayName="Tableau43" ref="A1:M66" totalsRowCount="1" headerRowDxfId="28" headerRowBorderDxfId="27">
  <autoFilter ref="A1:M65"/>
  <tableColumns count="13">
    <tableColumn id="1" name="Date  _x000a_JJ/MM/AAAA" dataDxfId="26" totalsRowDxfId="17"/>
    <tableColumn id="2" name="salle"/>
    <tableColumn id="3" name="intervention"/>
    <tableColumn id="4" name="Chirurgien"/>
    <tableColumn id="5" name="Entrée de salle" dataDxfId="25" totalsRowDxfId="16"/>
    <tableColumn id="6" name="Induction" dataDxfId="24" totalsRowDxfId="15"/>
    <tableColumn id="7" name="Incision" dataDxfId="23" totalsRowDxfId="14"/>
    <tableColumn id="8" name="Fermeture" dataDxfId="22" totalsRowDxfId="13"/>
    <tableColumn id="9" name="Sortie de salle" dataDxfId="21" totalsRowDxfId="12"/>
    <tableColumn id="10" name="Sortie reveil" dataDxfId="20" totalsRowDxfId="11"/>
    <tableColumn id="11" name="temps opératoire" totalsRowFunction="sum" dataDxfId="19" totalsRowDxfId="10">
      <calculatedColumnFormula>Tableau43[[#This Row],[Fermeture]]-Tableau43[[#This Row],[Incision]]</calculatedColumnFormula>
    </tableColumn>
    <tableColumn id="12" name="temps d'occupation de salle" totalsRowFunction="sum" dataDxfId="18" totalsRowDxfId="9">
      <calculatedColumnFormula>Tableau43[[#This Row],[Sortie de salle]]-Tableau43[[#This Row],[Entrée de salle]]</calculatedColumnFormula>
    </tableColumn>
    <tableColumn id="13" name="Colonne1" totalsRowFunction="sum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bleau44" displayName="Tableau44" ref="A1:X62" totalsRowCount="1" headerRowDxfId="91" dataDxfId="90" totalsRowDxfId="89" headerRowBorderDxfId="88">
  <autoFilter ref="A1:X61"/>
  <sortState ref="A2:U61">
    <sortCondition ref="A1:A61"/>
  </sortState>
  <tableColumns count="24">
    <tableColumn id="1" name="Date  _x000a_JJ/MM/AAAA" dataDxfId="87" totalsRowDxfId="63"/>
    <tableColumn id="2" name="salle" dataDxfId="86" totalsRowDxfId="62"/>
    <tableColumn id="3" name="intervention" dataDxfId="85" totalsRowDxfId="61"/>
    <tableColumn id="4" name="Chirurgien" dataDxfId="84" totalsRowDxfId="60"/>
    <tableColumn id="5" name="Entrée de salle" totalsRowFunction="min" dataDxfId="83" totalsRowDxfId="59"/>
    <tableColumn id="6" name="Induction" dataDxfId="82" totalsRowDxfId="58"/>
    <tableColumn id="7" name="Incision" dataDxfId="81" totalsRowDxfId="57"/>
    <tableColumn id="8" name="Fermeture" totalsRowFunction="custom" totalsRowDxfId="56">
      <totalsRowFormula>SUBTOTAL(105,Tableau44[Sortie de salle/ER])</totalsRowFormula>
    </tableColumn>
    <tableColumn id="9" name="Sortie de salle/ER" totalsRowFunction="max" totalsRowDxfId="55"/>
    <tableColumn id="10" name="Sortie reveil" totalsRowFunction="max" totalsRowDxfId="54"/>
    <tableColumn id="11" name="temps opératoire" totalsRowFunction="sum" dataDxfId="80" totalsRowDxfId="53">
      <calculatedColumnFormula>Tableau44[[#This Row],[Fermeture]]-Tableau44[[#This Row],[Incision]]</calculatedColumnFormula>
    </tableColumn>
    <tableColumn id="12" name="temps d'occupation de salle" totalsRowFunction="sum" dataDxfId="79" totalsRowDxfId="52">
      <calculatedColumnFormula>Tableau44[[#This Row],[Sortie de salle/ER]]-Tableau44[[#This Row],[Entrée de salle]]</calculatedColumnFormula>
    </tableColumn>
    <tableColumn id="13" name="Colonne1" totalsRowFunction="sum" dataDxfId="78" totalsRowDxfId="51"/>
    <tableColumn id="14" name="nombre de salles d'op" dataDxfId="77" totalsRowDxfId="50"/>
    <tableColumn id="21" name="temps reveil" totalsRowFunction="sum" dataDxfId="76" totalsRowDxfId="49">
      <calculatedColumnFormula>Tableau44[[#This Row],[Sortie reveil]]-Tableau44[[#This Row],[Sortie de salle/ER]]</calculatedColumnFormula>
    </tableColumn>
    <tableColumn id="15" name="amplitude horraire" totalsRowFunction="average" dataDxfId="75" totalsRowDxfId="48"/>
    <tableColumn id="16" name="heure de sortie" dataDxfId="74" totalsRowDxfId="47"/>
    <tableColumn id="19" name="occupation salle" dataDxfId="73" totalsRowDxfId="46"/>
    <tableColumn id="17" name="jour" dataDxfId="72" totalsRowDxfId="45"/>
    <tableColumn id="18" name="debordement reveil" totalsRowFunction="sum" dataDxfId="71" totalsRowDxfId="44">
      <calculatedColumnFormula>IF(Tableau44[[#This Row],[Sortie reveil]]&gt;$L$72,Tableau44[[#This Row],[Sortie reveil]]-$L$72,"")</calculatedColumnFormula>
    </tableColumn>
    <tableColumn id="22" name="debordement salle" totalsRowFunction="sum" dataDxfId="70" totalsRowDxfId="43">
      <calculatedColumnFormula>IF(Tableau44[[#This Row],[Sortie de salle/ER]]&gt;$L$73,(Tableau44[[#This Row],[Sortie de salle/ER]]-$L$73),"")</calculatedColumnFormula>
    </tableColumn>
    <tableColumn id="20" name="temps entre interventions" totalsRowFunction="stdDev" dataDxfId="69" totalsRowDxfId="42">
      <calculatedColumnFormula>IF(AND(Tableau44[[#This Row],[Date  
JJ/MM/AAAA]]=A1,Tableau44[[#This Row],[salle]]=B1),(Tableau44[[#This Row],[Entrée de salle]]-I1),"")</calculatedColumnFormula>
    </tableColumn>
    <tableColumn id="23" name="Colonne2" dataDxfId="68" totalsRowDxfId="41">
      <calculatedColumnFormula>IF(A2&lt;&gt;A1,(TEXT(A2,"jjjj")),"")</calculatedColumnFormula>
    </tableColumn>
    <tableColumn id="24" name="Colonne3" dataDxfId="67" totalsRowDxfId="40">
      <calculatedColumnFormula>TEXT(A2,"jjjj")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ableau47" displayName="Tableau47" ref="M69:N73" totalsRowShown="0" headerRowDxfId="66">
  <autoFilter ref="M69:N73"/>
  <tableColumns count="2">
    <tableColumn id="1" name="Jour" dataDxfId="65"/>
    <tableColumn id="2" name="nombre" dataDxfId="64">
      <calculatedColumnFormula>COUNTIF($W$2:$W$61,M70)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zoomScale="85" zoomScaleNormal="85" workbookViewId="0">
      <selection activeCell="E11" sqref="E11"/>
    </sheetView>
  </sheetViews>
  <sheetFormatPr baseColWidth="10" defaultRowHeight="15" x14ac:dyDescent="0.25"/>
  <cols>
    <col min="1" max="1" width="15.85546875" bestFit="1" customWidth="1"/>
    <col min="2" max="2" width="9.85546875" bestFit="1" customWidth="1"/>
    <col min="3" max="3" width="23" customWidth="1"/>
    <col min="4" max="4" width="15.7109375" bestFit="1" customWidth="1"/>
    <col min="5" max="5" width="19.85546875" bestFit="1" customWidth="1"/>
    <col min="6" max="6" width="15" bestFit="1" customWidth="1"/>
    <col min="7" max="7" width="13" bestFit="1" customWidth="1"/>
    <col min="8" max="8" width="15.7109375" bestFit="1" customWidth="1"/>
    <col min="9" max="9" width="19.28515625" bestFit="1" customWidth="1"/>
    <col min="10" max="10" width="17.42578125" bestFit="1" customWidth="1"/>
    <col min="11" max="11" width="22.7109375" bestFit="1" customWidth="1"/>
    <col min="12" max="12" width="33.28515625" bestFit="1" customWidth="1"/>
    <col min="13" max="13" width="14.7109375" bestFit="1" customWidth="1"/>
  </cols>
  <sheetData>
    <row r="1" spans="1:13" ht="47.2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90</v>
      </c>
      <c r="J1" s="4" t="s">
        <v>9</v>
      </c>
      <c r="K1" s="2" t="s">
        <v>10</v>
      </c>
      <c r="L1" s="2" t="s">
        <v>11</v>
      </c>
      <c r="M1" s="5" t="s">
        <v>12</v>
      </c>
    </row>
    <row r="2" spans="1:13" x14ac:dyDescent="0.25">
      <c r="A2" s="56">
        <v>42646</v>
      </c>
      <c r="B2">
        <v>1</v>
      </c>
      <c r="C2" t="s">
        <v>91</v>
      </c>
      <c r="E2" s="57">
        <v>0.58333333333333337</v>
      </c>
      <c r="F2" s="57">
        <v>0.59375</v>
      </c>
      <c r="G2" s="57">
        <v>0.61805555555555558</v>
      </c>
      <c r="H2" s="57">
        <v>0.78472222222222221</v>
      </c>
      <c r="I2" s="57">
        <v>0.79166666666666663</v>
      </c>
      <c r="J2" s="57">
        <v>0.82638888888888884</v>
      </c>
      <c r="K2" s="58">
        <f>Tableau42[[#This Row],[Fermeture]]-Tableau42[[#This Row],[Incision]]</f>
        <v>0.16666666666666663</v>
      </c>
      <c r="L2" s="58">
        <f>Tableau42[[#This Row],[Sortie de salle]]-Tableau42[[#This Row],[Entrée de salle]]</f>
        <v>0.20833333333333326</v>
      </c>
      <c r="M2">
        <v>1</v>
      </c>
    </row>
    <row r="3" spans="1:13" x14ac:dyDescent="0.25">
      <c r="A3" s="56">
        <v>42647</v>
      </c>
      <c r="B3">
        <v>3</v>
      </c>
      <c r="C3" t="s">
        <v>92</v>
      </c>
      <c r="E3" s="57">
        <v>0.34375</v>
      </c>
      <c r="F3" s="57">
        <v>0.3576388888888889</v>
      </c>
      <c r="G3" s="57">
        <v>0.375</v>
      </c>
      <c r="H3" s="57">
        <v>0.4548611111111111</v>
      </c>
      <c r="I3" s="57">
        <v>0.45833333333333331</v>
      </c>
      <c r="J3" s="57">
        <v>0.5</v>
      </c>
      <c r="K3" s="58">
        <f>Tableau42[[#This Row],[Fermeture]]-Tableau42[[#This Row],[Incision]]</f>
        <v>7.9861111111111105E-2</v>
      </c>
      <c r="L3" s="58">
        <f>Tableau42[[#This Row],[Sortie de salle]]-Tableau42[[#This Row],[Entrée de salle]]</f>
        <v>0.11458333333333331</v>
      </c>
      <c r="M3">
        <v>1</v>
      </c>
    </row>
    <row r="4" spans="1:13" x14ac:dyDescent="0.25">
      <c r="A4" s="56">
        <v>42647</v>
      </c>
      <c r="B4">
        <v>1</v>
      </c>
      <c r="C4" t="s">
        <v>55</v>
      </c>
      <c r="E4" s="57">
        <v>0.35416666666666669</v>
      </c>
      <c r="F4" s="57">
        <v>0.39583333333333331</v>
      </c>
      <c r="G4" s="57">
        <v>0.40625</v>
      </c>
      <c r="H4" s="57">
        <v>0.58333333333333337</v>
      </c>
      <c r="I4" s="57">
        <v>0.60069444444444442</v>
      </c>
      <c r="J4" s="57">
        <v>0.65625</v>
      </c>
      <c r="K4" s="58">
        <f>Tableau42[[#This Row],[Fermeture]]-Tableau42[[#This Row],[Incision]]</f>
        <v>0.17708333333333337</v>
      </c>
      <c r="L4" s="58">
        <f>Tableau42[[#This Row],[Sortie de salle]]-Tableau42[[#This Row],[Entrée de salle]]</f>
        <v>0.24652777777777773</v>
      </c>
      <c r="M4">
        <v>1</v>
      </c>
    </row>
    <row r="5" spans="1:13" x14ac:dyDescent="0.25">
      <c r="A5" s="56">
        <v>42648</v>
      </c>
      <c r="B5">
        <v>3</v>
      </c>
      <c r="C5" t="s">
        <v>36</v>
      </c>
      <c r="E5" s="57">
        <v>0.35416666666666669</v>
      </c>
      <c r="F5" s="57">
        <v>0.37152777777777773</v>
      </c>
      <c r="G5" s="57">
        <v>0.37847222222222227</v>
      </c>
      <c r="H5" s="57">
        <v>0.45833333333333331</v>
      </c>
      <c r="I5" s="57">
        <v>0.47222222222222227</v>
      </c>
      <c r="J5" s="57">
        <v>0.51041666666666663</v>
      </c>
      <c r="K5" s="58">
        <f>Tableau42[[#This Row],[Fermeture]]-Tableau42[[#This Row],[Incision]]</f>
        <v>7.9861111111111049E-2</v>
      </c>
      <c r="L5" s="58">
        <f>Tableau42[[#This Row],[Sortie de salle]]-Tableau42[[#This Row],[Entrée de salle]]</f>
        <v>0.11805555555555558</v>
      </c>
      <c r="M5">
        <v>1</v>
      </c>
    </row>
    <row r="6" spans="1:13" x14ac:dyDescent="0.25">
      <c r="A6" s="56">
        <v>42648</v>
      </c>
      <c r="B6">
        <v>2</v>
      </c>
      <c r="C6" t="s">
        <v>93</v>
      </c>
      <c r="E6" s="57">
        <v>0.47222222222222227</v>
      </c>
      <c r="F6" s="57">
        <v>0.47916666666666669</v>
      </c>
      <c r="G6" s="57">
        <v>0.4861111111111111</v>
      </c>
      <c r="H6" s="57">
        <v>0.50694444444444442</v>
      </c>
      <c r="I6" s="57">
        <v>0.51041666666666663</v>
      </c>
      <c r="J6" s="57">
        <v>0.52777777777777779</v>
      </c>
      <c r="K6" s="58">
        <f>Tableau42[[#This Row],[Fermeture]]-Tableau42[[#This Row],[Incision]]</f>
        <v>2.0833333333333315E-2</v>
      </c>
      <c r="L6" s="58">
        <f>Tableau42[[#This Row],[Sortie de salle]]-Tableau42[[#This Row],[Entrée de salle]]</f>
        <v>3.8194444444444364E-2</v>
      </c>
      <c r="M6">
        <v>1</v>
      </c>
    </row>
    <row r="7" spans="1:13" x14ac:dyDescent="0.25">
      <c r="A7" s="56">
        <v>42648</v>
      </c>
      <c r="B7">
        <v>1</v>
      </c>
      <c r="C7" t="s">
        <v>94</v>
      </c>
      <c r="E7" s="57">
        <v>0.35416666666666669</v>
      </c>
      <c r="F7" s="57">
        <v>0.36458333333333331</v>
      </c>
      <c r="G7" s="57">
        <v>0.38541666666666669</v>
      </c>
      <c r="H7" s="57">
        <v>0.54166666666666663</v>
      </c>
      <c r="I7" s="57">
        <v>0.55208333333333337</v>
      </c>
      <c r="J7" s="57">
        <v>0.61805555555555558</v>
      </c>
      <c r="K7" s="58">
        <f>Tableau42[[#This Row],[Fermeture]]-Tableau42[[#This Row],[Incision]]</f>
        <v>0.15624999999999994</v>
      </c>
      <c r="L7" s="58">
        <f>Tableau42[[#This Row],[Sortie de salle]]-Tableau42[[#This Row],[Entrée de salle]]</f>
        <v>0.19791666666666669</v>
      </c>
      <c r="M7">
        <v>1</v>
      </c>
    </row>
    <row r="8" spans="1:13" x14ac:dyDescent="0.25">
      <c r="A8" s="56">
        <v>42648</v>
      </c>
      <c r="B8">
        <v>3</v>
      </c>
      <c r="C8" t="s">
        <v>95</v>
      </c>
      <c r="E8" s="57">
        <v>0.53472222222222221</v>
      </c>
      <c r="F8" s="57">
        <v>0.55208333333333337</v>
      </c>
      <c r="G8" s="57">
        <v>0.57291666666666663</v>
      </c>
      <c r="H8" s="57">
        <v>0.61458333333333337</v>
      </c>
      <c r="I8" s="57">
        <v>0.63194444444444442</v>
      </c>
      <c r="J8" s="57">
        <v>0.69097222222222221</v>
      </c>
      <c r="K8" s="58">
        <f>Tableau42[[#This Row],[Fermeture]]-Tableau42[[#This Row],[Incision]]</f>
        <v>4.1666666666666741E-2</v>
      </c>
      <c r="L8" s="58">
        <f>Tableau42[[#This Row],[Sortie de salle]]-Tableau42[[#This Row],[Entrée de salle]]</f>
        <v>9.722222222222221E-2</v>
      </c>
      <c r="M8">
        <v>1</v>
      </c>
    </row>
    <row r="9" spans="1:13" x14ac:dyDescent="0.25">
      <c r="A9" s="56">
        <v>42648</v>
      </c>
      <c r="B9">
        <v>1</v>
      </c>
      <c r="C9" t="s">
        <v>96</v>
      </c>
      <c r="E9" s="57">
        <v>0.61805555555555558</v>
      </c>
      <c r="F9" s="57">
        <v>0.63888888888888895</v>
      </c>
      <c r="G9" s="57">
        <v>0.65625</v>
      </c>
      <c r="H9" s="57">
        <v>0.74305555555555547</v>
      </c>
      <c r="I9" s="57">
        <v>0.75347222222222221</v>
      </c>
      <c r="J9" s="57">
        <v>0.79166666666666663</v>
      </c>
      <c r="K9" s="58">
        <f>Tableau42[[#This Row],[Fermeture]]-Tableau42[[#This Row],[Incision]]</f>
        <v>8.6805555555555469E-2</v>
      </c>
      <c r="L9" s="58">
        <f>Tableau42[[#This Row],[Sortie de salle]]-Tableau42[[#This Row],[Entrée de salle]]</f>
        <v>0.13541666666666663</v>
      </c>
      <c r="M9">
        <v>1</v>
      </c>
    </row>
    <row r="10" spans="1:13" x14ac:dyDescent="0.25">
      <c r="A10" s="56">
        <v>42649</v>
      </c>
      <c r="B10">
        <v>3</v>
      </c>
      <c r="C10" t="s">
        <v>97</v>
      </c>
      <c r="E10" s="57">
        <v>0.375</v>
      </c>
      <c r="F10" s="57">
        <v>0.38194444444444442</v>
      </c>
      <c r="G10" s="57">
        <v>0.3888888888888889</v>
      </c>
      <c r="H10" s="57">
        <v>0.43055555555555558</v>
      </c>
      <c r="I10" s="57">
        <v>0.44097222222222227</v>
      </c>
      <c r="J10" s="57">
        <v>0.48958333333333331</v>
      </c>
      <c r="K10" s="58">
        <f>Tableau42[[#This Row],[Fermeture]]-Tableau42[[#This Row],[Incision]]</f>
        <v>4.1666666666666685E-2</v>
      </c>
      <c r="L10" s="58">
        <f>Tableau42[[#This Row],[Sortie de salle]]-Tableau42[[#This Row],[Entrée de salle]]</f>
        <v>6.5972222222222265E-2</v>
      </c>
      <c r="M10">
        <v>1</v>
      </c>
    </row>
    <row r="11" spans="1:13" x14ac:dyDescent="0.25">
      <c r="A11" s="56">
        <v>42649</v>
      </c>
      <c r="B11">
        <v>1</v>
      </c>
      <c r="C11" t="s">
        <v>98</v>
      </c>
      <c r="E11" s="57">
        <v>0.35416666666666669</v>
      </c>
      <c r="F11" s="57">
        <v>0.375</v>
      </c>
      <c r="G11" s="57">
        <v>0.39583333333333331</v>
      </c>
      <c r="H11" s="57">
        <v>0.45833333333333331</v>
      </c>
      <c r="I11" s="57">
        <v>0.47222222222222227</v>
      </c>
      <c r="J11" s="57">
        <v>0.52083333333333337</v>
      </c>
      <c r="K11" s="58">
        <f>Tableau42[[#This Row],[Fermeture]]-Tableau42[[#This Row],[Incision]]</f>
        <v>6.25E-2</v>
      </c>
      <c r="L11" s="58">
        <f>Tableau42[[#This Row],[Sortie de salle]]-Tableau42[[#This Row],[Entrée de salle]]</f>
        <v>0.11805555555555558</v>
      </c>
      <c r="M11">
        <v>1</v>
      </c>
    </row>
    <row r="12" spans="1:13" x14ac:dyDescent="0.25">
      <c r="A12" s="56">
        <v>42649</v>
      </c>
      <c r="B12">
        <v>3</v>
      </c>
      <c r="C12" t="s">
        <v>99</v>
      </c>
      <c r="E12" s="57">
        <v>0.4548611111111111</v>
      </c>
      <c r="F12" s="57">
        <v>0.46527777777777773</v>
      </c>
      <c r="G12" s="57">
        <v>0.47569444444444442</v>
      </c>
      <c r="H12" s="57">
        <v>0.51736111111111105</v>
      </c>
      <c r="I12" s="57">
        <v>0.54166666666666663</v>
      </c>
      <c r="J12" s="57">
        <v>0.5625</v>
      </c>
      <c r="K12" s="58">
        <f>Tableau42[[#This Row],[Fermeture]]-Tableau42[[#This Row],[Incision]]</f>
        <v>4.166666666666663E-2</v>
      </c>
      <c r="L12" s="58">
        <f>Tableau42[[#This Row],[Sortie de salle]]-Tableau42[[#This Row],[Entrée de salle]]</f>
        <v>8.6805555555555525E-2</v>
      </c>
      <c r="M12">
        <v>1</v>
      </c>
    </row>
    <row r="13" spans="1:13" x14ac:dyDescent="0.25">
      <c r="A13" s="56">
        <v>42654</v>
      </c>
      <c r="B13">
        <v>1</v>
      </c>
      <c r="C13" t="s">
        <v>100</v>
      </c>
      <c r="E13" s="57">
        <v>0.36458333333333331</v>
      </c>
      <c r="F13" s="57">
        <v>0.36805555555555558</v>
      </c>
      <c r="G13" s="57">
        <v>0.38194444444444442</v>
      </c>
      <c r="H13" s="57">
        <v>0.40972222222222227</v>
      </c>
      <c r="I13" s="57">
        <v>0.41666666666666669</v>
      </c>
      <c r="J13" s="57">
        <v>0.47222222222222227</v>
      </c>
      <c r="K13" s="58">
        <f>Tableau42[[#This Row],[Fermeture]]-Tableau42[[#This Row],[Incision]]</f>
        <v>2.7777777777777846E-2</v>
      </c>
      <c r="L13" s="58">
        <f>Tableau42[[#This Row],[Sortie de salle]]-Tableau42[[#This Row],[Entrée de salle]]</f>
        <v>5.208333333333337E-2</v>
      </c>
      <c r="M13">
        <v>1</v>
      </c>
    </row>
    <row r="14" spans="1:13" x14ac:dyDescent="0.25">
      <c r="A14" s="56">
        <v>42654</v>
      </c>
      <c r="B14">
        <v>2</v>
      </c>
      <c r="C14" t="s">
        <v>101</v>
      </c>
      <c r="E14" s="57">
        <v>0.35069444444444442</v>
      </c>
      <c r="F14" s="57">
        <v>0.3576388888888889</v>
      </c>
      <c r="G14" s="57">
        <v>0.36458333333333331</v>
      </c>
      <c r="H14" s="57">
        <v>0.4375</v>
      </c>
      <c r="I14" s="57">
        <v>0.44444444444444442</v>
      </c>
      <c r="J14" s="57">
        <v>0.52083333333333337</v>
      </c>
      <c r="K14" s="58">
        <f>Tableau42[[#This Row],[Fermeture]]-Tableau42[[#This Row],[Incision]]</f>
        <v>7.2916666666666685E-2</v>
      </c>
      <c r="L14" s="58">
        <f>Tableau42[[#This Row],[Sortie de salle]]-Tableau42[[#This Row],[Entrée de salle]]</f>
        <v>9.375E-2</v>
      </c>
      <c r="M14">
        <v>1</v>
      </c>
    </row>
    <row r="15" spans="1:13" x14ac:dyDescent="0.25">
      <c r="A15" s="56">
        <v>42654</v>
      </c>
      <c r="B15">
        <v>3</v>
      </c>
      <c r="C15" t="s">
        <v>102</v>
      </c>
      <c r="E15" s="57">
        <v>0.3611111111111111</v>
      </c>
      <c r="F15" s="57">
        <v>0.375</v>
      </c>
      <c r="G15" s="57">
        <v>0.38541666666666669</v>
      </c>
      <c r="H15" s="57">
        <v>0.4375</v>
      </c>
      <c r="I15" s="57">
        <v>0.44791666666666669</v>
      </c>
      <c r="J15" s="57">
        <v>0.49305555555555558</v>
      </c>
      <c r="K15" s="58">
        <f>Tableau42[[#This Row],[Fermeture]]-Tableau42[[#This Row],[Incision]]</f>
        <v>5.2083333333333315E-2</v>
      </c>
      <c r="L15" s="58">
        <f>Tableau42[[#This Row],[Sortie de salle]]-Tableau42[[#This Row],[Entrée de salle]]</f>
        <v>8.680555555555558E-2</v>
      </c>
      <c r="M15">
        <v>1</v>
      </c>
    </row>
    <row r="16" spans="1:13" x14ac:dyDescent="0.25">
      <c r="A16" s="56">
        <v>42654</v>
      </c>
      <c r="B16">
        <v>1</v>
      </c>
      <c r="C16" t="s">
        <v>103</v>
      </c>
      <c r="E16" s="57">
        <v>0.43055555555555558</v>
      </c>
      <c r="F16" s="57">
        <v>0.4375</v>
      </c>
      <c r="G16" s="57">
        <v>0.4548611111111111</v>
      </c>
      <c r="H16" s="57">
        <v>0.49652777777777773</v>
      </c>
      <c r="I16" s="57">
        <v>0.5</v>
      </c>
      <c r="J16" s="57">
        <v>0.54861111111111105</v>
      </c>
      <c r="K16" s="58">
        <f>Tableau42[[#This Row],[Fermeture]]-Tableau42[[#This Row],[Incision]]</f>
        <v>4.166666666666663E-2</v>
      </c>
      <c r="L16" s="58">
        <f>Tableau42[[#This Row],[Sortie de salle]]-Tableau42[[#This Row],[Entrée de salle]]</f>
        <v>6.944444444444442E-2</v>
      </c>
      <c r="M16">
        <v>1</v>
      </c>
    </row>
    <row r="17" spans="1:13" x14ac:dyDescent="0.25">
      <c r="A17" s="56">
        <v>42654</v>
      </c>
      <c r="B17">
        <v>3</v>
      </c>
      <c r="C17" t="s">
        <v>104</v>
      </c>
      <c r="E17" s="57">
        <v>0.49305555555555558</v>
      </c>
      <c r="F17" s="57">
        <v>0.51041666666666663</v>
      </c>
      <c r="G17" s="57">
        <v>0.52083333333333337</v>
      </c>
      <c r="H17" s="57">
        <v>0.55902777777777779</v>
      </c>
      <c r="I17" s="57">
        <v>0.57291666666666663</v>
      </c>
      <c r="J17" s="57">
        <v>0.60416666666666663</v>
      </c>
      <c r="K17" s="58">
        <f>Tableau42[[#This Row],[Fermeture]]-Tableau42[[#This Row],[Incision]]</f>
        <v>3.819444444444442E-2</v>
      </c>
      <c r="L17" s="58">
        <f>Tableau42[[#This Row],[Sortie de salle]]-Tableau42[[#This Row],[Entrée de salle]]</f>
        <v>7.9861111111111049E-2</v>
      </c>
      <c r="M17">
        <v>1</v>
      </c>
    </row>
    <row r="18" spans="1:13" x14ac:dyDescent="0.25">
      <c r="A18" s="56">
        <v>42655</v>
      </c>
      <c r="B18">
        <v>1</v>
      </c>
      <c r="C18" t="s">
        <v>105</v>
      </c>
      <c r="E18" s="57">
        <v>0.35416666666666669</v>
      </c>
      <c r="F18" s="57">
        <v>0.36805555555555558</v>
      </c>
      <c r="G18" s="57">
        <v>0.37847222222222227</v>
      </c>
      <c r="H18" s="57">
        <v>0.4861111111111111</v>
      </c>
      <c r="I18" s="57">
        <v>0.48958333333333331</v>
      </c>
      <c r="J18" s="57">
        <v>0.53125</v>
      </c>
      <c r="K18" s="58">
        <f>Tableau42[[#This Row],[Fermeture]]-Tableau42[[#This Row],[Incision]]</f>
        <v>0.10763888888888884</v>
      </c>
      <c r="L18" s="58">
        <f>Tableau42[[#This Row],[Sortie de salle]]-Tableau42[[#This Row],[Entrée de salle]]</f>
        <v>0.13541666666666663</v>
      </c>
      <c r="M18">
        <v>1</v>
      </c>
    </row>
    <row r="19" spans="1:13" x14ac:dyDescent="0.25">
      <c r="A19" s="56">
        <v>42655</v>
      </c>
      <c r="B19">
        <v>3</v>
      </c>
      <c r="C19" t="s">
        <v>106</v>
      </c>
      <c r="E19" s="57">
        <v>0.4826388888888889</v>
      </c>
      <c r="F19" s="57">
        <v>0.49652777777777773</v>
      </c>
      <c r="G19" s="57">
        <v>0.51388888888888895</v>
      </c>
      <c r="H19" s="57">
        <v>0.56597222222222221</v>
      </c>
      <c r="I19" s="57">
        <v>0.58333333333333337</v>
      </c>
      <c r="J19" s="57">
        <v>0.62847222222222221</v>
      </c>
      <c r="K19" s="58">
        <f>Tableau42[[#This Row],[Fermeture]]-Tableau42[[#This Row],[Incision]]</f>
        <v>5.2083333333333259E-2</v>
      </c>
      <c r="L19" s="58">
        <f>Tableau42[[#This Row],[Sortie de salle]]-Tableau42[[#This Row],[Entrée de salle]]</f>
        <v>0.10069444444444448</v>
      </c>
      <c r="M19">
        <v>1</v>
      </c>
    </row>
    <row r="20" spans="1:13" x14ac:dyDescent="0.25">
      <c r="A20" s="56">
        <v>42655</v>
      </c>
      <c r="B20">
        <v>1</v>
      </c>
      <c r="C20" t="s">
        <v>107</v>
      </c>
      <c r="E20" s="57">
        <v>0.5625</v>
      </c>
      <c r="F20" s="57">
        <v>0.59027777777777779</v>
      </c>
      <c r="G20" s="57">
        <v>0.60763888888888895</v>
      </c>
      <c r="H20" s="57">
        <v>0.66319444444444442</v>
      </c>
      <c r="I20" s="57">
        <v>0.67013888888888884</v>
      </c>
      <c r="J20" s="57">
        <v>0.71875</v>
      </c>
      <c r="K20" s="58">
        <f>Tableau42[[#This Row],[Fermeture]]-Tableau42[[#This Row],[Incision]]</f>
        <v>5.5555555555555469E-2</v>
      </c>
      <c r="L20" s="58">
        <f>Tableau42[[#This Row],[Sortie de salle]]-Tableau42[[#This Row],[Entrée de salle]]</f>
        <v>0.10763888888888884</v>
      </c>
      <c r="M20">
        <v>1</v>
      </c>
    </row>
    <row r="21" spans="1:13" x14ac:dyDescent="0.25">
      <c r="A21" s="56">
        <v>42656</v>
      </c>
      <c r="B21">
        <v>2</v>
      </c>
      <c r="C21" t="s">
        <v>108</v>
      </c>
      <c r="E21" s="57">
        <v>0.36805555555555558</v>
      </c>
      <c r="F21" s="57">
        <v>0.375</v>
      </c>
      <c r="G21" s="57">
        <v>0.3923611111111111</v>
      </c>
      <c r="H21" s="57">
        <v>0.46527777777777773</v>
      </c>
      <c r="I21" s="57">
        <v>0.47916666666666669</v>
      </c>
      <c r="J21" s="57">
        <v>0.55555555555555558</v>
      </c>
      <c r="K21" s="58">
        <f>Tableau42[[#This Row],[Fermeture]]-Tableau42[[#This Row],[Incision]]</f>
        <v>7.291666666666663E-2</v>
      </c>
      <c r="L21" s="58">
        <f>Tableau42[[#This Row],[Sortie de salle]]-Tableau42[[#This Row],[Entrée de salle]]</f>
        <v>0.1111111111111111</v>
      </c>
      <c r="M21">
        <v>1</v>
      </c>
    </row>
    <row r="22" spans="1:13" x14ac:dyDescent="0.25">
      <c r="A22" s="56">
        <v>42656</v>
      </c>
      <c r="B22">
        <v>1</v>
      </c>
      <c r="C22" t="s">
        <v>109</v>
      </c>
      <c r="E22" s="57">
        <v>0.34027777777777773</v>
      </c>
      <c r="F22" s="57">
        <v>0.35416666666666669</v>
      </c>
      <c r="G22" s="57">
        <v>0.375</v>
      </c>
      <c r="H22" s="57">
        <v>0.49652777777777773</v>
      </c>
      <c r="I22" s="57">
        <v>0.51388888888888895</v>
      </c>
      <c r="J22" s="57">
        <v>0.57291666666666663</v>
      </c>
      <c r="K22" s="58">
        <f>Tableau42[[#This Row],[Fermeture]]-Tableau42[[#This Row],[Incision]]</f>
        <v>0.12152777777777773</v>
      </c>
      <c r="L22" s="58">
        <f>Tableau42[[#This Row],[Sortie de salle]]-Tableau42[[#This Row],[Entrée de salle]]</f>
        <v>0.17361111111111122</v>
      </c>
      <c r="M22">
        <v>1</v>
      </c>
    </row>
    <row r="23" spans="1:13" x14ac:dyDescent="0.25">
      <c r="A23" s="56">
        <v>42656</v>
      </c>
      <c r="B23">
        <v>3</v>
      </c>
      <c r="C23" t="s">
        <v>110</v>
      </c>
      <c r="E23" s="57">
        <v>0.58680555555555558</v>
      </c>
      <c r="F23" s="57">
        <v>0.59722222222222221</v>
      </c>
      <c r="G23" s="57">
        <v>0.59722222222222221</v>
      </c>
      <c r="H23" s="57">
        <v>0.66666666666666663</v>
      </c>
      <c r="I23" s="57">
        <v>0.67013888888888884</v>
      </c>
      <c r="J23" s="57">
        <v>0.67013888888888884</v>
      </c>
      <c r="K23" s="58">
        <f>Tableau42[[#This Row],[Fermeture]]-Tableau42[[#This Row],[Incision]]</f>
        <v>6.944444444444442E-2</v>
      </c>
      <c r="L23" s="58">
        <f>Tableau42[[#This Row],[Sortie de salle]]-Tableau42[[#This Row],[Entrée de salle]]</f>
        <v>8.3333333333333259E-2</v>
      </c>
      <c r="M23">
        <v>1</v>
      </c>
    </row>
    <row r="24" spans="1:13" x14ac:dyDescent="0.25">
      <c r="A24" s="56">
        <v>42656</v>
      </c>
      <c r="B24">
        <v>1</v>
      </c>
      <c r="C24" t="s">
        <v>111</v>
      </c>
      <c r="E24" s="57">
        <v>0.53333333333333333</v>
      </c>
      <c r="F24" s="57">
        <v>0.54166666666666663</v>
      </c>
      <c r="G24" s="57">
        <v>0.56597222222222221</v>
      </c>
      <c r="H24" s="57">
        <v>0.69097222222222221</v>
      </c>
      <c r="I24" s="57">
        <v>0.70833333333333337</v>
      </c>
      <c r="J24" s="57">
        <v>0.76736111111111116</v>
      </c>
      <c r="K24" s="58">
        <f>Tableau42[[#This Row],[Fermeture]]-Tableau42[[#This Row],[Incision]]</f>
        <v>0.125</v>
      </c>
      <c r="L24" s="58">
        <f>Tableau42[[#This Row],[Sortie de salle]]-Tableau42[[#This Row],[Entrée de salle]]</f>
        <v>0.17500000000000004</v>
      </c>
      <c r="M24">
        <v>1</v>
      </c>
    </row>
    <row r="25" spans="1:13" x14ac:dyDescent="0.25">
      <c r="A25" s="56">
        <v>42660</v>
      </c>
      <c r="B25">
        <v>1</v>
      </c>
      <c r="C25" t="s">
        <v>112</v>
      </c>
      <c r="E25" s="57">
        <v>0.3576388888888889</v>
      </c>
      <c r="F25" s="57">
        <v>0.375</v>
      </c>
      <c r="G25" s="57">
        <v>0.3833333333333333</v>
      </c>
      <c r="H25" s="57">
        <v>0.52083333333333337</v>
      </c>
      <c r="I25" s="57">
        <v>0.53125</v>
      </c>
      <c r="J25" s="57">
        <v>0.55902777777777779</v>
      </c>
      <c r="K25" s="58">
        <f>Tableau42[[#This Row],[Fermeture]]-Tableau42[[#This Row],[Incision]]</f>
        <v>0.13750000000000007</v>
      </c>
      <c r="L25" s="58">
        <f>Tableau42[[#This Row],[Sortie de salle]]-Tableau42[[#This Row],[Entrée de salle]]</f>
        <v>0.1736111111111111</v>
      </c>
      <c r="M25">
        <v>1</v>
      </c>
    </row>
    <row r="26" spans="1:13" x14ac:dyDescent="0.25">
      <c r="A26" s="56">
        <v>42660</v>
      </c>
      <c r="B26">
        <v>1</v>
      </c>
      <c r="C26" t="s">
        <v>108</v>
      </c>
      <c r="E26" s="57">
        <v>0.59722222222222221</v>
      </c>
      <c r="F26" s="57">
        <v>0.60416666666666663</v>
      </c>
      <c r="G26" s="57">
        <v>0.61805555555555558</v>
      </c>
      <c r="H26" s="57">
        <v>0.67361111111111116</v>
      </c>
      <c r="I26" s="57">
        <v>0.68055555555555547</v>
      </c>
      <c r="J26" s="57">
        <v>0.71875</v>
      </c>
      <c r="K26" s="58">
        <f>Tableau42[[#This Row],[Fermeture]]-Tableau42[[#This Row],[Incision]]</f>
        <v>5.555555555555558E-2</v>
      </c>
      <c r="L26" s="58">
        <f>Tableau42[[#This Row],[Sortie de salle]]-Tableau42[[#This Row],[Entrée de salle]]</f>
        <v>8.3333333333333259E-2</v>
      </c>
      <c r="M26">
        <v>1</v>
      </c>
    </row>
    <row r="27" spans="1:13" x14ac:dyDescent="0.25">
      <c r="A27" s="56">
        <v>42661</v>
      </c>
      <c r="B27">
        <v>2</v>
      </c>
      <c r="C27" t="s">
        <v>113</v>
      </c>
      <c r="E27" s="57">
        <v>0.36458333333333331</v>
      </c>
      <c r="F27" s="57">
        <v>0.38194444444444442</v>
      </c>
      <c r="G27" s="57">
        <v>0.39583333333333331</v>
      </c>
      <c r="H27" s="57">
        <v>0.41666666666666669</v>
      </c>
      <c r="I27" s="57">
        <v>0.42708333333333331</v>
      </c>
      <c r="J27" s="57">
        <v>0.47222222222222227</v>
      </c>
      <c r="K27" s="58">
        <f>Tableau42[[#This Row],[Fermeture]]-Tableau42[[#This Row],[Incision]]</f>
        <v>2.083333333333337E-2</v>
      </c>
      <c r="L27" s="58">
        <f>Tableau42[[#This Row],[Sortie de salle]]-Tableau42[[#This Row],[Entrée de salle]]</f>
        <v>6.25E-2</v>
      </c>
      <c r="M27">
        <v>1</v>
      </c>
    </row>
    <row r="28" spans="1:13" x14ac:dyDescent="0.25">
      <c r="A28" s="56">
        <v>42661</v>
      </c>
      <c r="B28">
        <v>1</v>
      </c>
      <c r="C28" t="s">
        <v>114</v>
      </c>
      <c r="E28" s="57">
        <v>0.3576388888888889</v>
      </c>
      <c r="F28" s="57">
        <v>0.37152777777777773</v>
      </c>
      <c r="G28" s="57">
        <v>0.38194444444444442</v>
      </c>
      <c r="H28" s="57">
        <v>0.43055555555555558</v>
      </c>
      <c r="I28" s="57">
        <v>0.44791666666666669</v>
      </c>
      <c r="J28" s="57">
        <v>0.52777777777777779</v>
      </c>
      <c r="K28" s="58">
        <f>Tableau42[[#This Row],[Fermeture]]-Tableau42[[#This Row],[Incision]]</f>
        <v>4.861111111111116E-2</v>
      </c>
      <c r="L28" s="58">
        <f>Tableau42[[#This Row],[Sortie de salle]]-Tableau42[[#This Row],[Entrée de salle]]</f>
        <v>9.027777777777779E-2</v>
      </c>
      <c r="M28">
        <v>1</v>
      </c>
    </row>
    <row r="29" spans="1:13" x14ac:dyDescent="0.25">
      <c r="A29" s="56">
        <v>42661</v>
      </c>
      <c r="B29">
        <v>3</v>
      </c>
      <c r="C29" t="s">
        <v>115</v>
      </c>
      <c r="E29" s="57">
        <v>0.35416666666666669</v>
      </c>
      <c r="F29" s="57">
        <v>0.36458333333333331</v>
      </c>
      <c r="G29" s="57">
        <v>0.36805555555555558</v>
      </c>
      <c r="H29" s="57">
        <v>0.48958333333333331</v>
      </c>
      <c r="I29" s="57">
        <v>0.50347222222222221</v>
      </c>
      <c r="J29" s="57">
        <v>0.62152777777777779</v>
      </c>
      <c r="K29" s="58">
        <f>Tableau42[[#This Row],[Fermeture]]-Tableau42[[#This Row],[Incision]]</f>
        <v>0.12152777777777773</v>
      </c>
      <c r="L29" s="58">
        <f>Tableau42[[#This Row],[Sortie de salle]]-Tableau42[[#This Row],[Entrée de salle]]</f>
        <v>0.14930555555555552</v>
      </c>
      <c r="M29">
        <v>1</v>
      </c>
    </row>
    <row r="30" spans="1:13" x14ac:dyDescent="0.25">
      <c r="A30" s="56">
        <v>42661</v>
      </c>
      <c r="B30">
        <v>2</v>
      </c>
      <c r="C30" t="s">
        <v>116</v>
      </c>
      <c r="E30" s="57">
        <v>0.44097222222222227</v>
      </c>
      <c r="F30" s="57">
        <v>0.44791666666666669</v>
      </c>
      <c r="G30" s="57">
        <v>0.46180555555555558</v>
      </c>
      <c r="H30" s="57">
        <v>0.53819444444444442</v>
      </c>
      <c r="I30" s="57">
        <v>0.54861111111111105</v>
      </c>
      <c r="J30" s="57">
        <v>0.60069444444444442</v>
      </c>
      <c r="K30" s="58">
        <f>Tableau42[[#This Row],[Fermeture]]-Tableau42[[#This Row],[Incision]]</f>
        <v>7.638888888888884E-2</v>
      </c>
      <c r="L30" s="58">
        <f>Tableau42[[#This Row],[Sortie de salle]]-Tableau42[[#This Row],[Entrée de salle]]</f>
        <v>0.10763888888888878</v>
      </c>
      <c r="M30">
        <v>1</v>
      </c>
    </row>
    <row r="31" spans="1:13" x14ac:dyDescent="0.25">
      <c r="A31" s="56">
        <v>42661</v>
      </c>
      <c r="B31">
        <v>1</v>
      </c>
      <c r="C31" t="s">
        <v>117</v>
      </c>
      <c r="E31" s="57">
        <v>0.52777777777777779</v>
      </c>
      <c r="F31" s="57">
        <v>0.55555555555555558</v>
      </c>
      <c r="G31" s="57">
        <v>0.56944444444444442</v>
      </c>
      <c r="H31" s="57">
        <v>0.58333333333333337</v>
      </c>
      <c r="I31" s="57">
        <v>0.59722222222222221</v>
      </c>
      <c r="J31" s="57">
        <v>0.64583333333333337</v>
      </c>
      <c r="K31" s="58">
        <f>Tableau42[[#This Row],[Fermeture]]-Tableau42[[#This Row],[Incision]]</f>
        <v>1.3888888888888951E-2</v>
      </c>
      <c r="L31" s="58">
        <f>Tableau42[[#This Row],[Sortie de salle]]-Tableau42[[#This Row],[Entrée de salle]]</f>
        <v>6.944444444444442E-2</v>
      </c>
      <c r="M31">
        <v>1</v>
      </c>
    </row>
    <row r="32" spans="1:13" x14ac:dyDescent="0.25">
      <c r="A32" s="56">
        <v>42661</v>
      </c>
      <c r="B32">
        <v>3</v>
      </c>
      <c r="C32" t="s">
        <v>118</v>
      </c>
      <c r="E32" s="57">
        <v>0.59722222222222221</v>
      </c>
      <c r="F32" s="57">
        <v>0.60416666666666663</v>
      </c>
      <c r="G32" s="57">
        <v>0.61805555555555558</v>
      </c>
      <c r="H32" s="57">
        <v>0.71875</v>
      </c>
      <c r="I32" s="57">
        <v>0.72916666666666663</v>
      </c>
      <c r="J32" s="57">
        <v>0.78125</v>
      </c>
      <c r="K32" s="58">
        <f>Tableau42[[#This Row],[Fermeture]]-Tableau42[[#This Row],[Incision]]</f>
        <v>0.10069444444444442</v>
      </c>
      <c r="L32" s="58">
        <f>Tableau42[[#This Row],[Sortie de salle]]-Tableau42[[#This Row],[Entrée de salle]]</f>
        <v>0.13194444444444442</v>
      </c>
      <c r="M32">
        <v>1</v>
      </c>
    </row>
    <row r="33" spans="1:13" x14ac:dyDescent="0.25">
      <c r="A33" s="56">
        <v>42662</v>
      </c>
      <c r="B33">
        <v>1</v>
      </c>
      <c r="C33" t="s">
        <v>35</v>
      </c>
      <c r="E33" s="57">
        <v>0.35416666666666669</v>
      </c>
      <c r="F33" s="57">
        <v>0.36458333333333331</v>
      </c>
      <c r="G33" s="57">
        <v>0.38194444444444442</v>
      </c>
      <c r="H33" s="57">
        <v>0.4236111111111111</v>
      </c>
      <c r="I33" s="57">
        <v>0.4375</v>
      </c>
      <c r="J33" s="57">
        <v>0.5</v>
      </c>
      <c r="K33" s="58">
        <f>Tableau42[[#This Row],[Fermeture]]-Tableau42[[#This Row],[Incision]]</f>
        <v>4.1666666666666685E-2</v>
      </c>
      <c r="L33" s="58">
        <f>Tableau42[[#This Row],[Sortie de salle]]-Tableau42[[#This Row],[Entrée de salle]]</f>
        <v>8.3333333333333315E-2</v>
      </c>
      <c r="M33">
        <v>1</v>
      </c>
    </row>
    <row r="34" spans="1:13" x14ac:dyDescent="0.25">
      <c r="A34" s="56">
        <v>42662</v>
      </c>
      <c r="B34">
        <v>2</v>
      </c>
      <c r="C34" t="s">
        <v>119</v>
      </c>
      <c r="E34" s="57">
        <v>0.3576388888888889</v>
      </c>
      <c r="F34" s="57">
        <v>0.36805555555555558</v>
      </c>
      <c r="G34" s="57">
        <v>0.375</v>
      </c>
      <c r="H34" s="57">
        <v>0.45833333333333331</v>
      </c>
      <c r="I34" s="57">
        <v>0.46527777777777773</v>
      </c>
      <c r="J34" s="57">
        <v>0.4861111111111111</v>
      </c>
      <c r="K34" s="58">
        <f>Tableau42[[#This Row],[Fermeture]]-Tableau42[[#This Row],[Incision]]</f>
        <v>8.3333333333333315E-2</v>
      </c>
      <c r="L34" s="58">
        <f>Tableau42[[#This Row],[Sortie de salle]]-Tableau42[[#This Row],[Entrée de salle]]</f>
        <v>0.10763888888888884</v>
      </c>
      <c r="M34">
        <v>1</v>
      </c>
    </row>
    <row r="35" spans="1:13" x14ac:dyDescent="0.25">
      <c r="A35" s="56">
        <v>42662</v>
      </c>
      <c r="B35">
        <v>3</v>
      </c>
      <c r="C35" t="s">
        <v>33</v>
      </c>
      <c r="E35" s="57">
        <v>0.34027777777777773</v>
      </c>
      <c r="F35" s="57">
        <v>0.35000000000000003</v>
      </c>
      <c r="G35" s="57">
        <v>0.36805555555555558</v>
      </c>
      <c r="H35" s="57">
        <v>0.55555555555555558</v>
      </c>
      <c r="I35" s="57">
        <v>0.57638888888888895</v>
      </c>
      <c r="J35" s="57">
        <v>0.64236111111111105</v>
      </c>
      <c r="K35" s="58">
        <f>Tableau42[[#This Row],[Fermeture]]-Tableau42[[#This Row],[Incision]]</f>
        <v>0.1875</v>
      </c>
      <c r="L35" s="58">
        <f>Tableau42[[#This Row],[Sortie de salle]]-Tableau42[[#This Row],[Entrée de salle]]</f>
        <v>0.23611111111111122</v>
      </c>
      <c r="M35">
        <v>1</v>
      </c>
    </row>
    <row r="36" spans="1:13" x14ac:dyDescent="0.25">
      <c r="A36" s="56">
        <v>42662</v>
      </c>
      <c r="B36">
        <v>1</v>
      </c>
      <c r="C36" t="s">
        <v>120</v>
      </c>
      <c r="E36" s="57">
        <v>0.4513888888888889</v>
      </c>
      <c r="F36" s="57">
        <v>0.4548611111111111</v>
      </c>
      <c r="G36" s="57">
        <v>0.46875</v>
      </c>
      <c r="H36" s="57">
        <v>0.57291666666666663</v>
      </c>
      <c r="I36" s="57">
        <v>0.59027777777777779</v>
      </c>
      <c r="J36" s="57">
        <v>0.68055555555555547</v>
      </c>
      <c r="K36" s="58">
        <f>Tableau42[[#This Row],[Fermeture]]-Tableau42[[#This Row],[Incision]]</f>
        <v>0.10416666666666663</v>
      </c>
      <c r="L36" s="58">
        <f>Tableau42[[#This Row],[Sortie de salle]]-Tableau42[[#This Row],[Entrée de salle]]</f>
        <v>0.1388888888888889</v>
      </c>
      <c r="M36">
        <v>1</v>
      </c>
    </row>
    <row r="37" spans="1:13" x14ac:dyDescent="0.25">
      <c r="A37" s="56">
        <v>42662</v>
      </c>
      <c r="B37">
        <v>2</v>
      </c>
      <c r="C37" t="s">
        <v>57</v>
      </c>
      <c r="E37" s="57">
        <v>0.56944444444444442</v>
      </c>
      <c r="F37" s="57">
        <v>0.58333333333333337</v>
      </c>
      <c r="G37" s="57">
        <v>0.59722222222222221</v>
      </c>
      <c r="H37" s="57">
        <v>0.65277777777777779</v>
      </c>
      <c r="I37" s="57">
        <v>0.65972222222222221</v>
      </c>
      <c r="J37" s="57">
        <v>0.73263888888888884</v>
      </c>
      <c r="K37" s="58">
        <f>Tableau42[[#This Row],[Fermeture]]-Tableau42[[#This Row],[Incision]]</f>
        <v>5.555555555555558E-2</v>
      </c>
      <c r="L37" s="58">
        <f>Tableau42[[#This Row],[Sortie de salle]]-Tableau42[[#This Row],[Entrée de salle]]</f>
        <v>9.027777777777779E-2</v>
      </c>
      <c r="M37">
        <v>1</v>
      </c>
    </row>
    <row r="38" spans="1:13" x14ac:dyDescent="0.25">
      <c r="A38" s="56">
        <v>42662</v>
      </c>
      <c r="B38">
        <v>1</v>
      </c>
      <c r="C38" t="s">
        <v>121</v>
      </c>
      <c r="E38" s="57">
        <v>0.64930555555555558</v>
      </c>
      <c r="F38" s="57">
        <v>0.65972222222222221</v>
      </c>
      <c r="G38" s="57">
        <v>0.67361111111111116</v>
      </c>
      <c r="H38" s="57">
        <v>0.68055555555555547</v>
      </c>
      <c r="I38" s="57">
        <v>0.69444444444444453</v>
      </c>
      <c r="J38" s="57">
        <v>0.75347222222222221</v>
      </c>
      <c r="K38" s="58">
        <f>Tableau42[[#This Row],[Fermeture]]-Tableau42[[#This Row],[Incision]]</f>
        <v>6.9444444444443088E-3</v>
      </c>
      <c r="L38" s="58">
        <f>Tableau42[[#This Row],[Sortie de salle]]-Tableau42[[#This Row],[Entrée de salle]]</f>
        <v>4.5138888888888951E-2</v>
      </c>
      <c r="M38">
        <v>1</v>
      </c>
    </row>
    <row r="39" spans="1:13" x14ac:dyDescent="0.25">
      <c r="A39" s="56">
        <v>42662</v>
      </c>
      <c r="B39">
        <v>3</v>
      </c>
      <c r="C39" t="s">
        <v>122</v>
      </c>
      <c r="E39" s="57">
        <v>0.59722222222222221</v>
      </c>
      <c r="F39" s="57">
        <v>0.60416666666666663</v>
      </c>
      <c r="G39" s="57">
        <v>0.61458333333333337</v>
      </c>
      <c r="H39" s="57">
        <v>0.69444444444444453</v>
      </c>
      <c r="I39" s="57">
        <v>0.70833333333333337</v>
      </c>
      <c r="J39" s="57">
        <v>0.76736111111111116</v>
      </c>
      <c r="K39" s="58">
        <f>Tableau42[[#This Row],[Fermeture]]-Tableau42[[#This Row],[Incision]]</f>
        <v>7.986111111111116E-2</v>
      </c>
      <c r="L39" s="58">
        <f>Tableau42[[#This Row],[Sortie de salle]]-Tableau42[[#This Row],[Entrée de salle]]</f>
        <v>0.11111111111111116</v>
      </c>
      <c r="M39">
        <v>1</v>
      </c>
    </row>
    <row r="40" spans="1:13" x14ac:dyDescent="0.25">
      <c r="A40" s="56">
        <v>42662</v>
      </c>
      <c r="B40">
        <v>2</v>
      </c>
      <c r="C40" t="s">
        <v>59</v>
      </c>
      <c r="E40" s="57">
        <v>0.70138888888888884</v>
      </c>
      <c r="F40" s="57">
        <v>0.71875</v>
      </c>
      <c r="G40" s="57">
        <v>0.73611111111111116</v>
      </c>
      <c r="H40" s="57">
        <v>0.78819444444444453</v>
      </c>
      <c r="I40" s="57">
        <v>0.79166666666666663</v>
      </c>
      <c r="J40" s="57">
        <v>0.8125</v>
      </c>
      <c r="K40" s="58">
        <f>Tableau42[[#This Row],[Fermeture]]-Tableau42[[#This Row],[Incision]]</f>
        <v>5.208333333333337E-2</v>
      </c>
      <c r="L40" s="58">
        <f>Tableau42[[#This Row],[Sortie de salle]]-Tableau42[[#This Row],[Entrée de salle]]</f>
        <v>9.027777777777779E-2</v>
      </c>
      <c r="M40">
        <v>1</v>
      </c>
    </row>
    <row r="41" spans="1:13" x14ac:dyDescent="0.25">
      <c r="A41" s="56">
        <v>42663</v>
      </c>
      <c r="B41">
        <v>1</v>
      </c>
      <c r="C41" t="s">
        <v>123</v>
      </c>
      <c r="E41" s="57">
        <v>0.40972222222222227</v>
      </c>
      <c r="F41" s="57">
        <v>0.41666666666666669</v>
      </c>
      <c r="G41" s="57">
        <v>0.43055555555555558</v>
      </c>
      <c r="H41" s="57">
        <v>0.52083333333333337</v>
      </c>
      <c r="I41" s="57">
        <v>0.53125</v>
      </c>
      <c r="J41" s="57">
        <v>0.59027777777777779</v>
      </c>
      <c r="K41" s="58">
        <f>Tableau42[[#This Row],[Fermeture]]-Tableau42[[#This Row],[Incision]]</f>
        <v>9.027777777777779E-2</v>
      </c>
      <c r="L41" s="58">
        <f>Tableau42[[#This Row],[Sortie de salle]]-Tableau42[[#This Row],[Entrée de salle]]</f>
        <v>0.12152777777777773</v>
      </c>
      <c r="M41">
        <v>1</v>
      </c>
    </row>
    <row r="42" spans="1:13" x14ac:dyDescent="0.25">
      <c r="A42" s="56">
        <v>42663</v>
      </c>
      <c r="B42">
        <v>3</v>
      </c>
      <c r="C42" t="s">
        <v>55</v>
      </c>
      <c r="E42" s="57">
        <v>0.375</v>
      </c>
      <c r="F42" s="57">
        <v>0.38541666666666669</v>
      </c>
      <c r="G42" s="57">
        <v>0.40625</v>
      </c>
      <c r="H42" s="57">
        <v>0.57638888888888895</v>
      </c>
      <c r="I42" s="57">
        <v>0.60416666666666663</v>
      </c>
      <c r="J42" s="57">
        <v>0.67708333333333337</v>
      </c>
      <c r="K42" s="58">
        <f>Tableau42[[#This Row],[Fermeture]]-Tableau42[[#This Row],[Incision]]</f>
        <v>0.17013888888888895</v>
      </c>
      <c r="L42" s="58">
        <f>Tableau42[[#This Row],[Sortie de salle]]-Tableau42[[#This Row],[Entrée de salle]]</f>
        <v>0.22916666666666663</v>
      </c>
      <c r="M42">
        <v>1</v>
      </c>
    </row>
    <row r="43" spans="1:13" x14ac:dyDescent="0.25">
      <c r="A43" s="56">
        <v>42663</v>
      </c>
      <c r="B43">
        <v>1</v>
      </c>
      <c r="C43" t="s">
        <v>124</v>
      </c>
      <c r="E43" s="57">
        <v>0.62152777777777779</v>
      </c>
      <c r="F43" s="57">
        <v>0.63194444444444442</v>
      </c>
      <c r="G43" s="57">
        <v>0.64583333333333337</v>
      </c>
      <c r="H43" s="57">
        <v>0.68402777777777779</v>
      </c>
      <c r="I43" s="57">
        <v>0.69791666666666663</v>
      </c>
      <c r="J43" s="57">
        <v>0.72916666666666663</v>
      </c>
      <c r="K43" s="58">
        <f>Tableau42[[#This Row],[Fermeture]]-Tableau42[[#This Row],[Incision]]</f>
        <v>3.819444444444442E-2</v>
      </c>
      <c r="L43" s="58">
        <f>Tableau42[[#This Row],[Sortie de salle]]-Tableau42[[#This Row],[Entrée de salle]]</f>
        <v>7.638888888888884E-2</v>
      </c>
      <c r="M43">
        <v>1</v>
      </c>
    </row>
    <row r="44" spans="1:13" x14ac:dyDescent="0.25">
      <c r="A44" s="56">
        <v>42663</v>
      </c>
      <c r="B44">
        <v>3</v>
      </c>
      <c r="C44" t="s">
        <v>125</v>
      </c>
      <c r="E44" s="57">
        <v>0.68055555555555547</v>
      </c>
      <c r="F44" s="57">
        <v>0.6875</v>
      </c>
      <c r="G44" s="57">
        <v>0.69444444444444453</v>
      </c>
      <c r="H44" s="57">
        <v>0.70486111111111116</v>
      </c>
      <c r="I44" s="57">
        <v>0.71875</v>
      </c>
      <c r="J44" s="57">
        <v>0.73958333333333337</v>
      </c>
      <c r="K44" s="58">
        <f>Tableau42[[#This Row],[Fermeture]]-Tableau42[[#This Row],[Incision]]</f>
        <v>1.041666666666663E-2</v>
      </c>
      <c r="L44" s="58">
        <f>Tableau42[[#This Row],[Sortie de salle]]-Tableau42[[#This Row],[Entrée de salle]]</f>
        <v>3.8194444444444531E-2</v>
      </c>
      <c r="M44">
        <v>1</v>
      </c>
    </row>
    <row r="45" spans="1:13" x14ac:dyDescent="0.25">
      <c r="A45" s="56">
        <v>42663</v>
      </c>
      <c r="B45">
        <v>1</v>
      </c>
      <c r="C45" t="s">
        <v>126</v>
      </c>
      <c r="E45" s="57">
        <v>0.72222222222222221</v>
      </c>
      <c r="F45" s="57">
        <v>0.72569444444444453</v>
      </c>
      <c r="G45" s="57">
        <v>0.72916666666666663</v>
      </c>
      <c r="H45" s="57">
        <v>0.75694444444444453</v>
      </c>
      <c r="I45" s="57">
        <v>0.76041666666666663</v>
      </c>
      <c r="J45" s="57">
        <v>0.76388888888888884</v>
      </c>
      <c r="K45" s="58">
        <f>Tableau42[[#This Row],[Fermeture]]-Tableau42[[#This Row],[Incision]]</f>
        <v>2.7777777777777901E-2</v>
      </c>
      <c r="L45" s="58">
        <f>Tableau42[[#This Row],[Sortie de salle]]-Tableau42[[#This Row],[Entrée de salle]]</f>
        <v>3.819444444444442E-2</v>
      </c>
      <c r="M45">
        <v>1</v>
      </c>
    </row>
    <row r="46" spans="1:13" x14ac:dyDescent="0.25">
      <c r="A46" s="56">
        <v>42668</v>
      </c>
      <c r="B46">
        <v>2</v>
      </c>
      <c r="C46" t="s">
        <v>31</v>
      </c>
      <c r="E46" s="57">
        <v>0.3263888888888889</v>
      </c>
      <c r="F46" s="57">
        <v>0.33333333333333331</v>
      </c>
      <c r="G46" s="57">
        <v>0.34375</v>
      </c>
      <c r="H46" s="57">
        <v>0.375</v>
      </c>
      <c r="I46" s="57">
        <v>0.38194444444444442</v>
      </c>
      <c r="J46" s="57">
        <v>0.4236111111111111</v>
      </c>
      <c r="K46" s="58">
        <f>Tableau42[[#This Row],[Fermeture]]-Tableau42[[#This Row],[Incision]]</f>
        <v>3.125E-2</v>
      </c>
      <c r="L46" s="58">
        <f>Tableau42[[#This Row],[Sortie de salle]]-Tableau42[[#This Row],[Entrée de salle]]</f>
        <v>5.5555555555555525E-2</v>
      </c>
      <c r="M46">
        <v>1</v>
      </c>
    </row>
    <row r="47" spans="1:13" x14ac:dyDescent="0.25">
      <c r="A47" s="56">
        <v>42668</v>
      </c>
      <c r="B47">
        <v>3</v>
      </c>
      <c r="C47" t="s">
        <v>127</v>
      </c>
      <c r="E47" s="57">
        <v>0.375</v>
      </c>
      <c r="F47" s="57">
        <v>0.38194444444444442</v>
      </c>
      <c r="G47" s="57">
        <v>0.3923611111111111</v>
      </c>
      <c r="H47" s="57">
        <v>0.4513888888888889</v>
      </c>
      <c r="I47" s="57">
        <v>0.46527777777777773</v>
      </c>
      <c r="J47" s="57">
        <v>0.5</v>
      </c>
      <c r="K47" s="58">
        <f>Tableau42[[#This Row],[Fermeture]]-Tableau42[[#This Row],[Incision]]</f>
        <v>5.902777777777779E-2</v>
      </c>
      <c r="L47" s="58">
        <f>Tableau42[[#This Row],[Sortie de salle]]-Tableau42[[#This Row],[Entrée de salle]]</f>
        <v>9.0277777777777735E-2</v>
      </c>
      <c r="M47">
        <v>1</v>
      </c>
    </row>
    <row r="48" spans="1:13" x14ac:dyDescent="0.25">
      <c r="A48" s="56">
        <v>42668</v>
      </c>
      <c r="B48">
        <v>1</v>
      </c>
      <c r="C48" t="s">
        <v>128</v>
      </c>
      <c r="E48" s="57">
        <v>0.3576388888888889</v>
      </c>
      <c r="F48" s="57">
        <v>0.38194444444444442</v>
      </c>
      <c r="G48" s="57">
        <v>0.3888888888888889</v>
      </c>
      <c r="H48" s="57">
        <v>0.45833333333333331</v>
      </c>
      <c r="I48" s="57">
        <v>0.46875</v>
      </c>
      <c r="J48" s="57">
        <v>0.52083333333333337</v>
      </c>
      <c r="K48" s="58">
        <f>Tableau42[[#This Row],[Fermeture]]-Tableau42[[#This Row],[Incision]]</f>
        <v>6.944444444444442E-2</v>
      </c>
      <c r="L48" s="58">
        <f>Tableau42[[#This Row],[Sortie de salle]]-Tableau42[[#This Row],[Entrée de salle]]</f>
        <v>0.1111111111111111</v>
      </c>
      <c r="M48">
        <v>1</v>
      </c>
    </row>
    <row r="49" spans="1:13" x14ac:dyDescent="0.25">
      <c r="A49" s="56">
        <v>42668</v>
      </c>
      <c r="B49">
        <v>1</v>
      </c>
      <c r="C49" t="s">
        <v>129</v>
      </c>
      <c r="E49" s="57">
        <v>0.48958333333333331</v>
      </c>
      <c r="F49" s="57">
        <v>0.5</v>
      </c>
      <c r="G49" s="57">
        <v>0.52083333333333337</v>
      </c>
      <c r="H49" s="57">
        <v>0.60416666666666663</v>
      </c>
      <c r="I49" s="57">
        <v>0.60763888888888895</v>
      </c>
      <c r="J49" s="57">
        <v>0.64236111111111105</v>
      </c>
      <c r="K49" s="58">
        <f>Tableau42[[#This Row],[Fermeture]]-Tableau42[[#This Row],[Incision]]</f>
        <v>8.3333333333333259E-2</v>
      </c>
      <c r="L49" s="58">
        <f>Tableau42[[#This Row],[Sortie de salle]]-Tableau42[[#This Row],[Entrée de salle]]</f>
        <v>0.11805555555555564</v>
      </c>
      <c r="M49">
        <v>1</v>
      </c>
    </row>
    <row r="50" spans="1:13" x14ac:dyDescent="0.25">
      <c r="A50" s="56">
        <v>42668</v>
      </c>
      <c r="B50">
        <v>3</v>
      </c>
      <c r="C50" t="s">
        <v>66</v>
      </c>
      <c r="E50" s="57">
        <v>0.65972222222222221</v>
      </c>
      <c r="F50" s="57">
        <v>0.66319444444444442</v>
      </c>
      <c r="G50" s="57">
        <v>0.66666666666666663</v>
      </c>
      <c r="H50" s="57">
        <v>0.67361111111111116</v>
      </c>
      <c r="I50" s="57">
        <v>0.68055555555555547</v>
      </c>
      <c r="J50" s="57">
        <v>0.6875</v>
      </c>
      <c r="K50" s="58">
        <f>Tableau42[[#This Row],[Fermeture]]-Tableau42[[#This Row],[Incision]]</f>
        <v>6.9444444444445308E-3</v>
      </c>
      <c r="L50" s="58">
        <f>Tableau42[[#This Row],[Sortie de salle]]-Tableau42[[#This Row],[Entrée de salle]]</f>
        <v>2.0833333333333259E-2</v>
      </c>
      <c r="M50">
        <v>1</v>
      </c>
    </row>
    <row r="51" spans="1:13" x14ac:dyDescent="0.25">
      <c r="A51" s="56">
        <v>42670</v>
      </c>
      <c r="B51">
        <v>1</v>
      </c>
      <c r="C51" t="s">
        <v>130</v>
      </c>
      <c r="E51" s="57">
        <v>0.36805555555555558</v>
      </c>
      <c r="F51" s="57">
        <v>0.3888888888888889</v>
      </c>
      <c r="G51" s="57">
        <v>0.40972222222222227</v>
      </c>
      <c r="H51" s="57">
        <v>0.49305555555555558</v>
      </c>
      <c r="I51" s="57">
        <v>0.50347222222222221</v>
      </c>
      <c r="J51" s="57">
        <v>0.53472222222222221</v>
      </c>
      <c r="K51" s="58">
        <f>Tableau42[[#This Row],[Fermeture]]-Tableau42[[#This Row],[Incision]]</f>
        <v>8.3333333333333315E-2</v>
      </c>
      <c r="L51" s="58">
        <f>Tableau42[[#This Row],[Sortie de salle]]-Tableau42[[#This Row],[Entrée de salle]]</f>
        <v>0.13541666666666663</v>
      </c>
      <c r="M51">
        <v>1</v>
      </c>
    </row>
    <row r="52" spans="1:13" x14ac:dyDescent="0.25">
      <c r="A52" s="56">
        <v>42670</v>
      </c>
      <c r="B52">
        <v>3</v>
      </c>
      <c r="C52" t="s">
        <v>33</v>
      </c>
      <c r="E52" s="57">
        <v>0.35416666666666669</v>
      </c>
      <c r="F52" s="57">
        <v>0.36458333333333331</v>
      </c>
      <c r="G52" s="57">
        <v>0.3888888888888889</v>
      </c>
      <c r="H52" s="57">
        <v>0.55555555555555558</v>
      </c>
      <c r="I52" s="57">
        <v>0.57986111111111105</v>
      </c>
      <c r="J52" s="57">
        <v>0.64583333333333337</v>
      </c>
      <c r="K52" s="58">
        <f>Tableau42[[#This Row],[Fermeture]]-Tableau42[[#This Row],[Incision]]</f>
        <v>0.16666666666666669</v>
      </c>
      <c r="L52" s="58">
        <f>Tableau42[[#This Row],[Sortie de salle]]-Tableau42[[#This Row],[Entrée de salle]]</f>
        <v>0.22569444444444436</v>
      </c>
      <c r="M52">
        <v>1</v>
      </c>
    </row>
    <row r="53" spans="1:13" x14ac:dyDescent="0.25">
      <c r="A53" s="56">
        <v>42670</v>
      </c>
      <c r="B53">
        <v>1</v>
      </c>
      <c r="C53" t="s">
        <v>131</v>
      </c>
      <c r="E53" s="57">
        <v>0.61111111111111105</v>
      </c>
      <c r="F53" s="57">
        <v>0.61805555555555558</v>
      </c>
      <c r="G53" s="57">
        <v>0.61805555555555558</v>
      </c>
      <c r="H53" s="57">
        <v>0.625</v>
      </c>
      <c r="I53" s="57">
        <v>0.62847222222222221</v>
      </c>
      <c r="J53" s="57">
        <v>0.63541666666666663</v>
      </c>
      <c r="K53" s="58">
        <f>Tableau42[[#This Row],[Fermeture]]-Tableau42[[#This Row],[Incision]]</f>
        <v>6.9444444444444198E-3</v>
      </c>
      <c r="L53" s="58">
        <f>Tableau42[[#This Row],[Sortie de salle]]-Tableau42[[#This Row],[Entrée de salle]]</f>
        <v>1.736111111111116E-2</v>
      </c>
      <c r="M53">
        <v>1</v>
      </c>
    </row>
    <row r="54" spans="1:13" x14ac:dyDescent="0.25">
      <c r="A54" s="56"/>
      <c r="E54" s="57"/>
      <c r="F54" s="57"/>
      <c r="G54" s="57"/>
      <c r="H54" s="57"/>
      <c r="I54" s="57"/>
      <c r="J54" s="57"/>
      <c r="K54" s="59">
        <f>SUBTOTAL(109,Tableau42[temps opératoire])</f>
        <v>3.821527777777777</v>
      </c>
      <c r="L54" s="59">
        <f>SUBTOTAL(109,Tableau42[temps d''occupation de salle])</f>
        <v>5.7444444444444436</v>
      </c>
      <c r="M54">
        <f>SUBTOTAL(109,Tableau42[Colonne1])</f>
        <v>52</v>
      </c>
    </row>
    <row r="55" spans="1:13" ht="15.75" thickBot="1" x14ac:dyDescent="0.3"/>
    <row r="56" spans="1:13" ht="15.75" thickBot="1" x14ac:dyDescent="0.3">
      <c r="C56" s="60" t="s">
        <v>72</v>
      </c>
      <c r="D56" s="61">
        <v>0</v>
      </c>
      <c r="E56" s="62">
        <v>2.0833333333333332E-2</v>
      </c>
      <c r="F56" s="62">
        <v>4.1666666666666664E-2</v>
      </c>
      <c r="G56" s="62">
        <v>6.25E-2</v>
      </c>
      <c r="H56" s="62">
        <v>8.3333333333333301E-2</v>
      </c>
      <c r="I56" s="62">
        <v>0.104166666666667</v>
      </c>
      <c r="J56" s="62">
        <v>0.125</v>
      </c>
      <c r="K56" s="63">
        <v>0.29166666666666669</v>
      </c>
      <c r="L56" s="64" t="s">
        <v>73</v>
      </c>
    </row>
    <row r="57" spans="1:13" ht="15.75" thickBot="1" x14ac:dyDescent="0.3">
      <c r="C57" s="65" t="s">
        <v>74</v>
      </c>
      <c r="D57" s="66"/>
      <c r="E57" s="67">
        <f>SUMIFS($M$2:$M$53,$K$2:$K$53,"&gt;="&amp;D56,$K$2:$K$53,"&lt;"&amp;E56)</f>
        <v>5</v>
      </c>
      <c r="F57" s="67">
        <f t="shared" ref="F57:K57" si="0">SUMIFS($M$2:$M$53,$K$2:$K$53,"&gt;="&amp;E56,$K$2:$K$53,"&lt;"&amp;F56)</f>
        <v>9</v>
      </c>
      <c r="G57" s="67">
        <f t="shared" si="0"/>
        <v>11</v>
      </c>
      <c r="H57" s="67">
        <f t="shared" si="0"/>
        <v>9</v>
      </c>
      <c r="I57" s="67">
        <f t="shared" si="0"/>
        <v>6</v>
      </c>
      <c r="J57" s="67">
        <f t="shared" si="0"/>
        <v>4</v>
      </c>
      <c r="K57" s="67">
        <f t="shared" si="0"/>
        <v>8</v>
      </c>
      <c r="L57" s="68">
        <f>SUM(E57:K57)</f>
        <v>52</v>
      </c>
    </row>
    <row r="58" spans="1:13" ht="15.75" thickBot="1" x14ac:dyDescent="0.3">
      <c r="C58" s="65" t="s">
        <v>75</v>
      </c>
      <c r="D58" s="69"/>
      <c r="E58" s="70">
        <f>E57/$L$57</f>
        <v>9.6153846153846159E-2</v>
      </c>
      <c r="F58" s="70">
        <f t="shared" ref="F58:L58" si="1">F57/$L$57</f>
        <v>0.17307692307692307</v>
      </c>
      <c r="G58" s="70">
        <f t="shared" si="1"/>
        <v>0.21153846153846154</v>
      </c>
      <c r="H58" s="70">
        <f t="shared" si="1"/>
        <v>0.17307692307692307</v>
      </c>
      <c r="I58" s="70">
        <f t="shared" si="1"/>
        <v>0.11538461538461539</v>
      </c>
      <c r="J58" s="70">
        <f t="shared" si="1"/>
        <v>7.6923076923076927E-2</v>
      </c>
      <c r="K58" s="70">
        <f t="shared" si="1"/>
        <v>0.15384615384615385</v>
      </c>
      <c r="L58" s="70">
        <f t="shared" si="1"/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abSelected="1" workbookViewId="0">
      <selection activeCell="D8" sqref="D8"/>
    </sheetView>
  </sheetViews>
  <sheetFormatPr baseColWidth="10" defaultColWidth="11.140625" defaultRowHeight="15" x14ac:dyDescent="0.25"/>
  <cols>
    <col min="1" max="1" width="14.42578125" bestFit="1" customWidth="1"/>
    <col min="2" max="2" width="9.85546875" bestFit="1" customWidth="1"/>
    <col min="3" max="3" width="29.140625" customWidth="1"/>
    <col min="4" max="4" width="15.7109375" bestFit="1" customWidth="1"/>
    <col min="5" max="5" width="19.85546875" bestFit="1" customWidth="1"/>
    <col min="6" max="6" width="15" bestFit="1" customWidth="1"/>
    <col min="7" max="7" width="13" bestFit="1" customWidth="1"/>
    <col min="8" max="8" width="15.7109375" bestFit="1" customWidth="1"/>
    <col min="9" max="9" width="14.42578125" bestFit="1" customWidth="1"/>
    <col min="10" max="10" width="11.42578125" bestFit="1" customWidth="1"/>
    <col min="11" max="11" width="14.85546875" bestFit="1" customWidth="1"/>
    <col min="12" max="12" width="16" bestFit="1" customWidth="1"/>
    <col min="13" max="13" width="14.7109375" bestFit="1" customWidth="1"/>
  </cols>
  <sheetData>
    <row r="1" spans="1:13" ht="47.2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90</v>
      </c>
      <c r="J1" s="4" t="s">
        <v>9</v>
      </c>
      <c r="K1" s="2" t="s">
        <v>10</v>
      </c>
      <c r="L1" s="2" t="s">
        <v>11</v>
      </c>
      <c r="M1" s="5" t="s">
        <v>12</v>
      </c>
    </row>
    <row r="2" spans="1:13" x14ac:dyDescent="0.25">
      <c r="A2" s="56">
        <v>42676</v>
      </c>
      <c r="B2">
        <v>3</v>
      </c>
      <c r="C2" t="s">
        <v>132</v>
      </c>
      <c r="E2" s="57">
        <v>0.36458333333333331</v>
      </c>
      <c r="F2" s="57">
        <v>0.375</v>
      </c>
      <c r="G2" s="57">
        <v>0.3888888888888889</v>
      </c>
      <c r="H2" s="57">
        <v>0.51388888888888895</v>
      </c>
      <c r="I2" s="57">
        <v>0.52083333333333337</v>
      </c>
      <c r="J2" s="57">
        <v>0.54861111111111105</v>
      </c>
      <c r="K2" s="58">
        <f>Tableau43[[#This Row],[Fermeture]]-Tableau43[[#This Row],[Incision]]</f>
        <v>0.12500000000000006</v>
      </c>
      <c r="L2" s="58">
        <f>Tableau43[[#This Row],[Sortie de salle]]-Tableau43[[#This Row],[Entrée de salle]]</f>
        <v>0.15625000000000006</v>
      </c>
      <c r="M2">
        <v>1</v>
      </c>
    </row>
    <row r="3" spans="1:13" x14ac:dyDescent="0.25">
      <c r="A3" s="56">
        <v>42676</v>
      </c>
      <c r="B3">
        <v>3</v>
      </c>
      <c r="C3" t="s">
        <v>133</v>
      </c>
      <c r="E3" s="57">
        <v>0.57291666666666663</v>
      </c>
      <c r="F3" s="57">
        <v>0.59722222222222221</v>
      </c>
      <c r="G3" s="57">
        <v>0.59722222222222221</v>
      </c>
      <c r="H3" s="57">
        <v>0.60416666666666663</v>
      </c>
      <c r="I3" s="57">
        <v>0.60416666666666663</v>
      </c>
      <c r="J3" s="57">
        <v>0.61458333333333337</v>
      </c>
      <c r="K3" s="58">
        <f>Tableau43[[#This Row],[Fermeture]]-Tableau43[[#This Row],[Incision]]</f>
        <v>6.9444444444444198E-3</v>
      </c>
      <c r="L3" s="58">
        <f>Tableau43[[#This Row],[Sortie de salle]]-Tableau43[[#This Row],[Entrée de salle]]</f>
        <v>3.125E-2</v>
      </c>
      <c r="M3">
        <v>1</v>
      </c>
    </row>
    <row r="4" spans="1:13" x14ac:dyDescent="0.25">
      <c r="A4" s="56">
        <v>42676</v>
      </c>
      <c r="B4">
        <v>1</v>
      </c>
      <c r="C4" t="s">
        <v>134</v>
      </c>
      <c r="E4" s="57">
        <v>0.49305555555555558</v>
      </c>
      <c r="F4" s="57">
        <v>0.5</v>
      </c>
      <c r="G4" s="57">
        <v>0.53125</v>
      </c>
      <c r="H4" s="57">
        <v>0.66666666666666663</v>
      </c>
      <c r="I4" s="57">
        <v>0.67708333333333337</v>
      </c>
      <c r="J4" s="57">
        <v>0.71875</v>
      </c>
      <c r="K4" s="58">
        <f>Tableau43[[#This Row],[Fermeture]]-Tableau43[[#This Row],[Incision]]</f>
        <v>0.13541666666666663</v>
      </c>
      <c r="L4" s="58">
        <f>Tableau43[[#This Row],[Sortie de salle]]-Tableau43[[#This Row],[Entrée de salle]]</f>
        <v>0.18402777777777779</v>
      </c>
      <c r="M4">
        <v>1</v>
      </c>
    </row>
    <row r="5" spans="1:13" x14ac:dyDescent="0.25">
      <c r="A5" s="56">
        <v>42677</v>
      </c>
      <c r="B5">
        <v>1</v>
      </c>
      <c r="C5" t="s">
        <v>135</v>
      </c>
      <c r="E5" s="57">
        <v>0.3611111111111111</v>
      </c>
      <c r="F5" s="57">
        <v>0.36458333333333331</v>
      </c>
      <c r="G5" s="57">
        <v>0.38194444444444442</v>
      </c>
      <c r="H5" s="57">
        <v>0.52777777777777779</v>
      </c>
      <c r="I5" s="57">
        <v>0.52777777777777779</v>
      </c>
      <c r="J5" s="57">
        <v>0.59722222222222221</v>
      </c>
      <c r="K5" s="58">
        <f>Tableau43[[#This Row],[Fermeture]]-Tableau43[[#This Row],[Incision]]</f>
        <v>0.14583333333333337</v>
      </c>
      <c r="L5" s="58">
        <f>Tableau43[[#This Row],[Sortie de salle]]-Tableau43[[#This Row],[Entrée de salle]]</f>
        <v>0.16666666666666669</v>
      </c>
      <c r="M5">
        <v>1</v>
      </c>
    </row>
    <row r="6" spans="1:13" x14ac:dyDescent="0.25">
      <c r="A6" s="56">
        <v>42677</v>
      </c>
      <c r="B6">
        <v>3</v>
      </c>
      <c r="C6" t="s">
        <v>136</v>
      </c>
      <c r="E6" s="57">
        <v>0.36805555555555558</v>
      </c>
      <c r="F6" s="57">
        <v>0.37847222222222227</v>
      </c>
      <c r="G6" s="57">
        <v>0.3888888888888889</v>
      </c>
      <c r="H6" s="57">
        <v>0.55555555555555558</v>
      </c>
      <c r="I6" s="57">
        <v>0.57638888888888895</v>
      </c>
      <c r="J6" s="57">
        <v>0.64236111111111105</v>
      </c>
      <c r="K6" s="58">
        <f>Tableau43[[#This Row],[Fermeture]]-Tableau43[[#This Row],[Incision]]</f>
        <v>0.16666666666666669</v>
      </c>
      <c r="L6" s="58">
        <f>Tableau43[[#This Row],[Sortie de salle]]-Tableau43[[#This Row],[Entrée de salle]]</f>
        <v>0.20833333333333337</v>
      </c>
      <c r="M6">
        <v>1</v>
      </c>
    </row>
    <row r="7" spans="1:13" x14ac:dyDescent="0.25">
      <c r="A7" s="56">
        <v>42677</v>
      </c>
      <c r="B7">
        <v>1</v>
      </c>
      <c r="C7" t="s">
        <v>137</v>
      </c>
      <c r="E7" s="57">
        <v>0.59722222222222221</v>
      </c>
      <c r="F7" s="57">
        <v>0.59722222222222221</v>
      </c>
      <c r="G7" s="57">
        <v>0.60416666666666663</v>
      </c>
      <c r="H7" s="57">
        <v>0.64444444444444449</v>
      </c>
      <c r="I7" s="57">
        <v>0.64583333333333337</v>
      </c>
      <c r="J7" s="57">
        <v>0.68055555555555547</v>
      </c>
      <c r="K7" s="58">
        <f>Tableau43[[#This Row],[Fermeture]]-Tableau43[[#This Row],[Incision]]</f>
        <v>4.0277777777777857E-2</v>
      </c>
      <c r="L7" s="58">
        <f>Tableau43[[#This Row],[Sortie de salle]]-Tableau43[[#This Row],[Entrée de salle]]</f>
        <v>4.861111111111116E-2</v>
      </c>
      <c r="M7">
        <v>1</v>
      </c>
    </row>
    <row r="8" spans="1:13" x14ac:dyDescent="0.25">
      <c r="A8" s="56">
        <v>42677</v>
      </c>
      <c r="B8">
        <v>2</v>
      </c>
      <c r="C8" t="s">
        <v>138</v>
      </c>
      <c r="E8" s="57">
        <v>0.54166666666666663</v>
      </c>
      <c r="F8" s="57">
        <v>0.54861111111111105</v>
      </c>
      <c r="G8" s="57">
        <v>0.56597222222222221</v>
      </c>
      <c r="H8" s="57">
        <v>0.65972222222222221</v>
      </c>
      <c r="I8" s="57">
        <v>0.67708333333333337</v>
      </c>
      <c r="J8" s="57">
        <v>0.72222222222222221</v>
      </c>
      <c r="K8" s="58">
        <f>Tableau43[[#This Row],[Fermeture]]-Tableau43[[#This Row],[Incision]]</f>
        <v>9.375E-2</v>
      </c>
      <c r="L8" s="58">
        <f>Tableau43[[#This Row],[Sortie de salle]]-Tableau43[[#This Row],[Entrée de salle]]</f>
        <v>0.13541666666666674</v>
      </c>
      <c r="M8">
        <v>1</v>
      </c>
    </row>
    <row r="9" spans="1:13" x14ac:dyDescent="0.25">
      <c r="A9" s="56">
        <v>42677</v>
      </c>
      <c r="B9">
        <v>3</v>
      </c>
      <c r="C9" t="s">
        <v>36</v>
      </c>
      <c r="E9" s="57">
        <v>0.64583333333333337</v>
      </c>
      <c r="F9" s="57">
        <v>0.65625</v>
      </c>
      <c r="G9" s="57">
        <v>0.66666666666666663</v>
      </c>
      <c r="H9" s="57">
        <v>0.77777777777777779</v>
      </c>
      <c r="I9" s="57">
        <v>0.78472222222222221</v>
      </c>
      <c r="J9" s="57">
        <v>0.81944444444444453</v>
      </c>
      <c r="K9" s="58">
        <f>Tableau43[[#This Row],[Fermeture]]-Tableau43[[#This Row],[Incision]]</f>
        <v>0.11111111111111116</v>
      </c>
      <c r="L9" s="58">
        <f>Tableau43[[#This Row],[Sortie de salle]]-Tableau43[[#This Row],[Entrée de salle]]</f>
        <v>0.13888888888888884</v>
      </c>
      <c r="M9">
        <v>1</v>
      </c>
    </row>
    <row r="10" spans="1:13" x14ac:dyDescent="0.25">
      <c r="A10" s="56">
        <v>42681</v>
      </c>
      <c r="B10">
        <v>2</v>
      </c>
      <c r="C10" t="s">
        <v>36</v>
      </c>
      <c r="E10" s="57">
        <v>0.35416666666666669</v>
      </c>
      <c r="F10" s="57">
        <v>0.3611111111111111</v>
      </c>
      <c r="G10" s="57">
        <v>0.37708333333333338</v>
      </c>
      <c r="H10" s="57">
        <v>0.43402777777777773</v>
      </c>
      <c r="I10" s="57">
        <v>0.44097222222222227</v>
      </c>
      <c r="J10" s="57">
        <v>0.47569444444444442</v>
      </c>
      <c r="K10" s="58">
        <f>Tableau43[[#This Row],[Fermeture]]-Tableau43[[#This Row],[Incision]]</f>
        <v>5.6944444444444353E-2</v>
      </c>
      <c r="L10" s="58">
        <f>Tableau43[[#This Row],[Sortie de salle]]-Tableau43[[#This Row],[Entrée de salle]]</f>
        <v>8.680555555555558E-2</v>
      </c>
      <c r="M10">
        <v>1</v>
      </c>
    </row>
    <row r="11" spans="1:13" x14ac:dyDescent="0.25">
      <c r="A11" s="56">
        <v>42681</v>
      </c>
      <c r="B11">
        <v>1</v>
      </c>
      <c r="C11" t="s">
        <v>139</v>
      </c>
      <c r="E11" s="57">
        <v>0.58333333333333337</v>
      </c>
      <c r="F11" s="57">
        <v>0.60416666666666663</v>
      </c>
      <c r="G11" s="57">
        <v>0.64236111111111105</v>
      </c>
      <c r="H11" s="57">
        <v>0.83680555555555547</v>
      </c>
      <c r="I11" s="57">
        <v>0.84375</v>
      </c>
      <c r="J11" s="57">
        <v>0.86805555555555547</v>
      </c>
      <c r="K11" s="58">
        <f>Tableau43[[#This Row],[Fermeture]]-Tableau43[[#This Row],[Incision]]</f>
        <v>0.19444444444444442</v>
      </c>
      <c r="L11" s="58">
        <f>Tableau43[[#This Row],[Sortie de salle]]-Tableau43[[#This Row],[Entrée de salle]]</f>
        <v>0.26041666666666663</v>
      </c>
      <c r="M11">
        <v>1</v>
      </c>
    </row>
    <row r="12" spans="1:13" x14ac:dyDescent="0.25">
      <c r="A12" s="56">
        <v>42682</v>
      </c>
      <c r="B12">
        <v>3</v>
      </c>
      <c r="C12" t="s">
        <v>59</v>
      </c>
      <c r="E12" s="57">
        <v>0.3611111111111111</v>
      </c>
      <c r="F12" s="57">
        <v>0.37847222222222227</v>
      </c>
      <c r="G12" s="57">
        <v>0.39583333333333331</v>
      </c>
      <c r="H12" s="57">
        <v>0.45833333333333331</v>
      </c>
      <c r="I12" s="57">
        <v>0.46527777777777773</v>
      </c>
      <c r="J12" s="57">
        <v>0.5</v>
      </c>
      <c r="K12" s="58">
        <f>Tableau43[[#This Row],[Fermeture]]-Tableau43[[#This Row],[Incision]]</f>
        <v>6.25E-2</v>
      </c>
      <c r="L12" s="58">
        <f>Tableau43[[#This Row],[Sortie de salle]]-Tableau43[[#This Row],[Entrée de salle]]</f>
        <v>0.10416666666666663</v>
      </c>
      <c r="M12">
        <v>1</v>
      </c>
    </row>
    <row r="13" spans="1:13" x14ac:dyDescent="0.25">
      <c r="A13" s="56">
        <v>42682</v>
      </c>
      <c r="B13">
        <v>1</v>
      </c>
      <c r="C13" t="s">
        <v>140</v>
      </c>
      <c r="E13" s="57">
        <v>0.34375</v>
      </c>
      <c r="F13" s="57">
        <v>0.3576388888888889</v>
      </c>
      <c r="G13" s="57">
        <v>0.375</v>
      </c>
      <c r="H13" s="57">
        <v>0.47916666666666669</v>
      </c>
      <c r="I13" s="57">
        <v>0.4861111111111111</v>
      </c>
      <c r="J13" s="57">
        <v>0.56944444444444442</v>
      </c>
      <c r="K13" s="58">
        <f>Tableau43[[#This Row],[Fermeture]]-Tableau43[[#This Row],[Incision]]</f>
        <v>0.10416666666666669</v>
      </c>
      <c r="L13" s="58">
        <f>Tableau43[[#This Row],[Sortie de salle]]-Tableau43[[#This Row],[Entrée de salle]]</f>
        <v>0.1423611111111111</v>
      </c>
      <c r="M13">
        <v>1</v>
      </c>
    </row>
    <row r="14" spans="1:13" x14ac:dyDescent="0.25">
      <c r="A14" s="56">
        <v>42682</v>
      </c>
      <c r="B14">
        <v>2</v>
      </c>
      <c r="C14" t="s">
        <v>44</v>
      </c>
      <c r="E14" s="57">
        <v>0.34027777777777773</v>
      </c>
      <c r="F14" s="57">
        <v>0.34722222222222227</v>
      </c>
      <c r="G14" s="57">
        <v>0.3611111111111111</v>
      </c>
      <c r="H14" s="57">
        <v>0.4861111111111111</v>
      </c>
      <c r="I14" s="57">
        <v>0.51388888888888895</v>
      </c>
      <c r="J14" s="57">
        <v>0.59722222222222221</v>
      </c>
      <c r="K14" s="58">
        <f>Tableau43[[#This Row],[Fermeture]]-Tableau43[[#This Row],[Incision]]</f>
        <v>0.125</v>
      </c>
      <c r="L14" s="58">
        <f>Tableau43[[#This Row],[Sortie de salle]]-Tableau43[[#This Row],[Entrée de salle]]</f>
        <v>0.17361111111111122</v>
      </c>
      <c r="M14">
        <v>1</v>
      </c>
    </row>
    <row r="15" spans="1:13" x14ac:dyDescent="0.25">
      <c r="A15" s="56">
        <v>42682</v>
      </c>
      <c r="B15">
        <v>1</v>
      </c>
      <c r="C15" t="s">
        <v>141</v>
      </c>
      <c r="E15" s="57">
        <v>0.52083333333333337</v>
      </c>
      <c r="F15" s="57">
        <v>0.52430555555555558</v>
      </c>
      <c r="G15" s="57">
        <v>0.52777777777777779</v>
      </c>
      <c r="H15" s="57">
        <v>0.53680555555555554</v>
      </c>
      <c r="I15" s="57">
        <v>0.53819444444444442</v>
      </c>
      <c r="J15" s="57">
        <v>0.54513888888888895</v>
      </c>
      <c r="K15" s="58">
        <f>Tableau43[[#This Row],[Fermeture]]-Tableau43[[#This Row],[Incision]]</f>
        <v>9.0277777777777457E-3</v>
      </c>
      <c r="L15" s="58">
        <f>Tableau43[[#This Row],[Sortie de salle]]-Tableau43[[#This Row],[Entrée de salle]]</f>
        <v>1.7361111111111049E-2</v>
      </c>
      <c r="M15">
        <v>1</v>
      </c>
    </row>
    <row r="16" spans="1:13" x14ac:dyDescent="0.25">
      <c r="A16" s="56">
        <v>42682</v>
      </c>
      <c r="B16">
        <v>3</v>
      </c>
      <c r="C16" t="s">
        <v>51</v>
      </c>
      <c r="E16" s="57">
        <v>0.47916666666666669</v>
      </c>
      <c r="F16" s="57">
        <v>0.5</v>
      </c>
      <c r="G16" s="57">
        <v>0.52083333333333337</v>
      </c>
      <c r="H16" s="57">
        <v>0.61458333333333337</v>
      </c>
      <c r="I16" s="57">
        <v>0.625</v>
      </c>
      <c r="J16" s="57">
        <v>0.67708333333333337</v>
      </c>
      <c r="K16" s="58">
        <f>Tableau43[[#This Row],[Fermeture]]-Tableau43[[#This Row],[Incision]]</f>
        <v>9.375E-2</v>
      </c>
      <c r="L16" s="58">
        <f>Tableau43[[#This Row],[Sortie de salle]]-Tableau43[[#This Row],[Entrée de salle]]</f>
        <v>0.14583333333333331</v>
      </c>
      <c r="M16">
        <v>1</v>
      </c>
    </row>
    <row r="17" spans="1:13" x14ac:dyDescent="0.25">
      <c r="A17" s="56">
        <v>42682</v>
      </c>
      <c r="B17">
        <v>1</v>
      </c>
      <c r="C17" t="s">
        <v>142</v>
      </c>
      <c r="E17" s="57">
        <v>0.61458333333333337</v>
      </c>
      <c r="F17" s="57">
        <v>0.64236111111111105</v>
      </c>
      <c r="G17" s="57">
        <v>0.65972222222222221</v>
      </c>
      <c r="H17" s="57">
        <v>0.77430555555555547</v>
      </c>
      <c r="I17" s="57">
        <v>0.78125</v>
      </c>
      <c r="J17" s="57">
        <v>0.81944444444444453</v>
      </c>
      <c r="K17" s="58">
        <f>Tableau43[[#This Row],[Fermeture]]-Tableau43[[#This Row],[Incision]]</f>
        <v>0.11458333333333326</v>
      </c>
      <c r="L17" s="58">
        <f>Tableau43[[#This Row],[Sortie de salle]]-Tableau43[[#This Row],[Entrée de salle]]</f>
        <v>0.16666666666666663</v>
      </c>
      <c r="M17">
        <v>1</v>
      </c>
    </row>
    <row r="18" spans="1:13" x14ac:dyDescent="0.25">
      <c r="A18" s="56">
        <v>42683</v>
      </c>
      <c r="B18">
        <v>1</v>
      </c>
      <c r="C18" t="s">
        <v>143</v>
      </c>
      <c r="E18" s="57">
        <v>0.35416666666666669</v>
      </c>
      <c r="F18" s="57">
        <v>0.36458333333333331</v>
      </c>
      <c r="G18" s="57">
        <v>0.38194444444444442</v>
      </c>
      <c r="H18" s="57">
        <v>0.4236111111111111</v>
      </c>
      <c r="I18" s="57">
        <v>0.42708333333333331</v>
      </c>
      <c r="J18" s="57">
        <v>0.50694444444444442</v>
      </c>
      <c r="K18" s="58">
        <f>Tableau43[[#This Row],[Fermeture]]-Tableau43[[#This Row],[Incision]]</f>
        <v>4.1666666666666685E-2</v>
      </c>
      <c r="L18" s="58">
        <f>Tableau43[[#This Row],[Sortie de salle]]-Tableau43[[#This Row],[Entrée de salle]]</f>
        <v>7.291666666666663E-2</v>
      </c>
      <c r="M18">
        <v>1</v>
      </c>
    </row>
    <row r="19" spans="1:13" x14ac:dyDescent="0.25">
      <c r="A19" s="56">
        <v>42683</v>
      </c>
      <c r="B19">
        <v>2</v>
      </c>
      <c r="C19" t="s">
        <v>36</v>
      </c>
      <c r="E19" s="57">
        <v>0.3611111111111111</v>
      </c>
      <c r="F19" s="57">
        <v>0.37152777777777773</v>
      </c>
      <c r="G19" s="57">
        <v>0.37847222222222227</v>
      </c>
      <c r="H19" s="57">
        <v>0.42708333333333331</v>
      </c>
      <c r="I19" s="57">
        <v>0.44097222222222227</v>
      </c>
      <c r="J19" s="57">
        <v>0.49305555555555558</v>
      </c>
      <c r="K19" s="58">
        <f>Tableau43[[#This Row],[Fermeture]]-Tableau43[[#This Row],[Incision]]</f>
        <v>4.8611111111111049E-2</v>
      </c>
      <c r="L19" s="58">
        <f>Tableau43[[#This Row],[Sortie de salle]]-Tableau43[[#This Row],[Entrée de salle]]</f>
        <v>7.986111111111116E-2</v>
      </c>
      <c r="M19">
        <v>1</v>
      </c>
    </row>
    <row r="20" spans="1:13" x14ac:dyDescent="0.25">
      <c r="A20" s="56">
        <v>42683</v>
      </c>
      <c r="B20">
        <v>3</v>
      </c>
      <c r="C20" t="s">
        <v>144</v>
      </c>
      <c r="E20" s="57">
        <v>0.34375</v>
      </c>
      <c r="F20" s="57">
        <v>0.3576388888888889</v>
      </c>
      <c r="G20" s="57">
        <v>0.36458333333333331</v>
      </c>
      <c r="H20" s="57">
        <v>0.46875</v>
      </c>
      <c r="I20" s="57">
        <v>0.47916666666666669</v>
      </c>
      <c r="J20" s="57">
        <v>0.53125</v>
      </c>
      <c r="K20" s="58">
        <f>Tableau43[[#This Row],[Fermeture]]-Tableau43[[#This Row],[Incision]]</f>
        <v>0.10416666666666669</v>
      </c>
      <c r="L20" s="58">
        <f>Tableau43[[#This Row],[Sortie de salle]]-Tableau43[[#This Row],[Entrée de salle]]</f>
        <v>0.13541666666666669</v>
      </c>
      <c r="M20">
        <v>1</v>
      </c>
    </row>
    <row r="21" spans="1:13" x14ac:dyDescent="0.25">
      <c r="A21" s="56">
        <v>42683</v>
      </c>
      <c r="B21">
        <v>2</v>
      </c>
      <c r="C21" t="s">
        <v>145</v>
      </c>
      <c r="E21" s="57">
        <v>0.46875</v>
      </c>
      <c r="F21" s="57">
        <v>0.47569444444444442</v>
      </c>
      <c r="G21" s="57">
        <v>0.4826388888888889</v>
      </c>
      <c r="H21" s="57">
        <v>0.50347222222222221</v>
      </c>
      <c r="I21" s="57">
        <v>0.51388888888888895</v>
      </c>
      <c r="J21" s="57">
        <v>0.5625</v>
      </c>
      <c r="K21" s="58">
        <f>Tableau43[[#This Row],[Fermeture]]-Tableau43[[#This Row],[Incision]]</f>
        <v>2.0833333333333315E-2</v>
      </c>
      <c r="L21" s="58">
        <f>Tableau43[[#This Row],[Sortie de salle]]-Tableau43[[#This Row],[Entrée de salle]]</f>
        <v>4.5138888888888951E-2</v>
      </c>
      <c r="M21">
        <v>1</v>
      </c>
    </row>
    <row r="22" spans="1:13" x14ac:dyDescent="0.25">
      <c r="A22" s="56">
        <v>42683</v>
      </c>
      <c r="B22">
        <v>1</v>
      </c>
      <c r="C22" t="s">
        <v>146</v>
      </c>
      <c r="E22" s="57">
        <v>0.44444444444444442</v>
      </c>
      <c r="F22" s="57">
        <v>0.44791666666666669</v>
      </c>
      <c r="G22" s="57">
        <v>0.46875</v>
      </c>
      <c r="H22" s="57">
        <v>0.55208333333333337</v>
      </c>
      <c r="I22" s="57">
        <v>0.55902777777777779</v>
      </c>
      <c r="J22" s="57">
        <v>0.60416666666666663</v>
      </c>
      <c r="K22" s="58">
        <f>Tableau43[[#This Row],[Fermeture]]-Tableau43[[#This Row],[Incision]]</f>
        <v>8.333333333333337E-2</v>
      </c>
      <c r="L22" s="58">
        <f>Tableau43[[#This Row],[Sortie de salle]]-Tableau43[[#This Row],[Entrée de salle]]</f>
        <v>0.11458333333333337</v>
      </c>
      <c r="M22">
        <v>1</v>
      </c>
    </row>
    <row r="23" spans="1:13" x14ac:dyDescent="0.25">
      <c r="A23" s="56">
        <v>42683</v>
      </c>
      <c r="B23">
        <v>3</v>
      </c>
      <c r="C23" t="s">
        <v>147</v>
      </c>
      <c r="E23" s="57">
        <v>0.55902777777777779</v>
      </c>
      <c r="F23" s="57">
        <v>0.57291666666666663</v>
      </c>
      <c r="G23" s="57">
        <v>0.58333333333333337</v>
      </c>
      <c r="H23" s="57">
        <v>0.67708333333333337</v>
      </c>
      <c r="I23" s="57">
        <v>0.6875</v>
      </c>
      <c r="J23" s="57">
        <v>0.75</v>
      </c>
      <c r="K23" s="58">
        <f>Tableau43[[#This Row],[Fermeture]]-Tableau43[[#This Row],[Incision]]</f>
        <v>9.375E-2</v>
      </c>
      <c r="L23" s="58">
        <f>Tableau43[[#This Row],[Sortie de salle]]-Tableau43[[#This Row],[Entrée de salle]]</f>
        <v>0.12847222222222221</v>
      </c>
      <c r="M23">
        <v>1</v>
      </c>
    </row>
    <row r="24" spans="1:13" x14ac:dyDescent="0.25">
      <c r="A24" s="56">
        <v>42683</v>
      </c>
      <c r="B24">
        <v>2</v>
      </c>
      <c r="C24" t="s">
        <v>148</v>
      </c>
      <c r="E24" s="57">
        <v>0.53472222222222221</v>
      </c>
      <c r="F24" s="57">
        <v>0.54166666666666663</v>
      </c>
      <c r="G24" s="57">
        <v>0.55208333333333337</v>
      </c>
      <c r="H24" s="57">
        <v>0.71875</v>
      </c>
      <c r="I24" s="57">
        <v>0.72916666666666663</v>
      </c>
      <c r="J24" s="57">
        <v>0.77083333333333337</v>
      </c>
      <c r="K24" s="58">
        <f>Tableau43[[#This Row],[Fermeture]]-Tableau43[[#This Row],[Incision]]</f>
        <v>0.16666666666666663</v>
      </c>
      <c r="L24" s="58">
        <f>Tableau43[[#This Row],[Sortie de salle]]-Tableau43[[#This Row],[Entrée de salle]]</f>
        <v>0.19444444444444442</v>
      </c>
      <c r="M24">
        <v>1</v>
      </c>
    </row>
    <row r="25" spans="1:13" x14ac:dyDescent="0.25">
      <c r="A25" s="56">
        <v>42683</v>
      </c>
      <c r="B25">
        <v>1</v>
      </c>
      <c r="C25" t="s">
        <v>149</v>
      </c>
      <c r="E25" s="57">
        <v>0.72222222222222221</v>
      </c>
      <c r="F25" s="57">
        <v>0.74236111111111114</v>
      </c>
      <c r="G25" s="57">
        <v>0.76041666666666663</v>
      </c>
      <c r="H25" s="57">
        <v>0.88541666666666663</v>
      </c>
      <c r="I25" s="57">
        <v>0.89236111111111116</v>
      </c>
      <c r="J25" s="57">
        <v>0.91666666666666663</v>
      </c>
      <c r="K25" s="58">
        <f>Tableau43[[#This Row],[Fermeture]]-Tableau43[[#This Row],[Incision]]</f>
        <v>0.125</v>
      </c>
      <c r="L25" s="58">
        <f>Tableau43[[#This Row],[Sortie de salle]]-Tableau43[[#This Row],[Entrée de salle]]</f>
        <v>0.17013888888888895</v>
      </c>
      <c r="M25">
        <v>1</v>
      </c>
    </row>
    <row r="26" spans="1:13" x14ac:dyDescent="0.25">
      <c r="A26" s="56">
        <v>42684</v>
      </c>
      <c r="B26">
        <v>3</v>
      </c>
      <c r="C26" t="s">
        <v>150</v>
      </c>
      <c r="E26" s="57">
        <v>0.375</v>
      </c>
      <c r="F26" s="57">
        <v>0.39583333333333331</v>
      </c>
      <c r="G26" s="57">
        <v>0.39930555555555558</v>
      </c>
      <c r="H26" s="57">
        <v>0.4826388888888889</v>
      </c>
      <c r="I26" s="57">
        <v>0.5</v>
      </c>
      <c r="J26" s="57">
        <v>0.5625</v>
      </c>
      <c r="K26" s="58">
        <f>Tableau43[[#This Row],[Fermeture]]-Tableau43[[#This Row],[Incision]]</f>
        <v>8.3333333333333315E-2</v>
      </c>
      <c r="L26" s="58">
        <f>Tableau43[[#This Row],[Sortie de salle]]-Tableau43[[#This Row],[Entrée de salle]]</f>
        <v>0.125</v>
      </c>
      <c r="M26">
        <v>1</v>
      </c>
    </row>
    <row r="27" spans="1:13" x14ac:dyDescent="0.25">
      <c r="A27" s="56">
        <v>42684</v>
      </c>
      <c r="B27">
        <v>2</v>
      </c>
      <c r="C27" t="s">
        <v>144</v>
      </c>
      <c r="E27" s="57">
        <v>0.35416666666666669</v>
      </c>
      <c r="F27" s="57">
        <v>0.37152777777777773</v>
      </c>
      <c r="G27" s="57">
        <v>0.39583333333333331</v>
      </c>
      <c r="H27" s="57">
        <v>0.47916666666666669</v>
      </c>
      <c r="I27" s="57">
        <v>0.50347222222222221</v>
      </c>
      <c r="J27" s="57">
        <v>0.54861111111111105</v>
      </c>
      <c r="K27" s="58">
        <f>Tableau43[[#This Row],[Fermeture]]-Tableau43[[#This Row],[Incision]]</f>
        <v>8.333333333333337E-2</v>
      </c>
      <c r="L27" s="58">
        <f>Tableau43[[#This Row],[Sortie de salle]]-Tableau43[[#This Row],[Entrée de salle]]</f>
        <v>0.14930555555555552</v>
      </c>
      <c r="M27">
        <v>1</v>
      </c>
    </row>
    <row r="28" spans="1:13" x14ac:dyDescent="0.25">
      <c r="A28" s="56">
        <v>42684</v>
      </c>
      <c r="B28">
        <v>2</v>
      </c>
      <c r="C28" t="s">
        <v>151</v>
      </c>
      <c r="E28" s="57">
        <v>0.51041666666666663</v>
      </c>
      <c r="F28" s="57">
        <v>0.52430555555555558</v>
      </c>
      <c r="G28" s="57">
        <v>0.52430555555555558</v>
      </c>
      <c r="H28" s="57">
        <v>0.54861111111111105</v>
      </c>
      <c r="I28" s="57">
        <v>0.54861111111111105</v>
      </c>
      <c r="J28" s="57">
        <v>0.55208333333333337</v>
      </c>
      <c r="K28" s="58">
        <f>Tableau43[[#This Row],[Fermeture]]-Tableau43[[#This Row],[Incision]]</f>
        <v>2.4305555555555469E-2</v>
      </c>
      <c r="L28" s="58">
        <f>Tableau43[[#This Row],[Sortie de salle]]-Tableau43[[#This Row],[Entrée de salle]]</f>
        <v>3.819444444444442E-2</v>
      </c>
      <c r="M28">
        <v>1</v>
      </c>
    </row>
    <row r="29" spans="1:13" x14ac:dyDescent="0.25">
      <c r="A29" s="56">
        <v>42688</v>
      </c>
      <c r="B29">
        <v>1</v>
      </c>
      <c r="C29" t="s">
        <v>44</v>
      </c>
      <c r="E29" s="57">
        <v>0.57638888888888895</v>
      </c>
      <c r="F29" s="57">
        <v>0.59375</v>
      </c>
      <c r="G29" s="57">
        <v>0.60416666666666663</v>
      </c>
      <c r="H29" s="57">
        <v>0.74652777777777779</v>
      </c>
      <c r="I29" s="57">
        <v>0.75</v>
      </c>
      <c r="J29" s="57">
        <v>0.78125</v>
      </c>
      <c r="K29" s="58">
        <f>Tableau43[[#This Row],[Fermeture]]-Tableau43[[#This Row],[Incision]]</f>
        <v>0.14236111111111116</v>
      </c>
      <c r="L29" s="58">
        <f>Tableau43[[#This Row],[Sortie de salle]]-Tableau43[[#This Row],[Entrée de salle]]</f>
        <v>0.17361111111111105</v>
      </c>
      <c r="M29">
        <v>1</v>
      </c>
    </row>
    <row r="30" spans="1:13" x14ac:dyDescent="0.25">
      <c r="A30" s="56">
        <v>42689</v>
      </c>
      <c r="B30">
        <v>1</v>
      </c>
      <c r="C30" t="s">
        <v>152</v>
      </c>
      <c r="E30" s="57">
        <v>0.36458333333333331</v>
      </c>
      <c r="F30" s="57">
        <v>0.38194444444444442</v>
      </c>
      <c r="G30" s="57">
        <v>0.39930555555555558</v>
      </c>
      <c r="H30" s="57">
        <v>0.52222222222222225</v>
      </c>
      <c r="I30" s="57">
        <v>0.52777777777777779</v>
      </c>
      <c r="J30" s="57">
        <v>0.56944444444444442</v>
      </c>
      <c r="K30" s="58">
        <f>Tableau43[[#This Row],[Fermeture]]-Tableau43[[#This Row],[Incision]]</f>
        <v>0.12291666666666667</v>
      </c>
      <c r="L30" s="58">
        <f>Tableau43[[#This Row],[Sortie de salle]]-Tableau43[[#This Row],[Entrée de salle]]</f>
        <v>0.16319444444444448</v>
      </c>
      <c r="M30">
        <v>1</v>
      </c>
    </row>
    <row r="31" spans="1:13" x14ac:dyDescent="0.25">
      <c r="A31" s="56">
        <v>42689</v>
      </c>
      <c r="B31">
        <v>3</v>
      </c>
      <c r="C31" t="s">
        <v>33</v>
      </c>
      <c r="E31" s="57">
        <v>0.35416666666666669</v>
      </c>
      <c r="F31" s="57">
        <v>0.3611111111111111</v>
      </c>
      <c r="G31" s="57">
        <v>0.38194444444444442</v>
      </c>
      <c r="H31" s="57">
        <v>0.51736111111111105</v>
      </c>
      <c r="I31" s="57">
        <v>0.53125</v>
      </c>
      <c r="J31" s="57">
        <v>0.59722222222222221</v>
      </c>
      <c r="K31" s="58">
        <f>Tableau43[[#This Row],[Fermeture]]-Tableau43[[#This Row],[Incision]]</f>
        <v>0.13541666666666663</v>
      </c>
      <c r="L31" s="58">
        <f>Tableau43[[#This Row],[Sortie de salle]]-Tableau43[[#This Row],[Entrée de salle]]</f>
        <v>0.17708333333333331</v>
      </c>
      <c r="M31">
        <v>1</v>
      </c>
    </row>
    <row r="32" spans="1:13" x14ac:dyDescent="0.25">
      <c r="A32" s="56">
        <v>42689</v>
      </c>
      <c r="B32">
        <v>2</v>
      </c>
      <c r="C32" t="s">
        <v>43</v>
      </c>
      <c r="E32" s="57">
        <v>0.54166666666666663</v>
      </c>
      <c r="F32" s="57">
        <v>0.55555555555555558</v>
      </c>
      <c r="G32" s="57">
        <v>0.56944444444444442</v>
      </c>
      <c r="H32" s="57">
        <v>0.63194444444444442</v>
      </c>
      <c r="I32" s="57">
        <v>0.64236111111111105</v>
      </c>
      <c r="J32" s="57">
        <v>0.6875</v>
      </c>
      <c r="K32" s="58">
        <f>Tableau43[[#This Row],[Fermeture]]-Tableau43[[#This Row],[Incision]]</f>
        <v>6.25E-2</v>
      </c>
      <c r="L32" s="58">
        <f>Tableau43[[#This Row],[Sortie de salle]]-Tableau43[[#This Row],[Entrée de salle]]</f>
        <v>0.10069444444444442</v>
      </c>
      <c r="M32">
        <v>1</v>
      </c>
    </row>
    <row r="33" spans="1:13" x14ac:dyDescent="0.25">
      <c r="A33" s="56">
        <v>42690</v>
      </c>
      <c r="B33">
        <v>2</v>
      </c>
      <c r="C33" t="s">
        <v>57</v>
      </c>
      <c r="E33" s="57">
        <v>0.34375</v>
      </c>
      <c r="F33" s="57">
        <v>0.35416666666666669</v>
      </c>
      <c r="G33" s="57">
        <v>0.36458333333333331</v>
      </c>
      <c r="H33" s="57">
        <v>0.46875</v>
      </c>
      <c r="I33" s="57">
        <v>0.47569444444444442</v>
      </c>
      <c r="J33" s="57">
        <v>0.50347222222222221</v>
      </c>
      <c r="K33" s="58">
        <f>Tableau43[[#This Row],[Fermeture]]-Tableau43[[#This Row],[Incision]]</f>
        <v>0.10416666666666669</v>
      </c>
      <c r="L33" s="58">
        <f>Tableau43[[#This Row],[Sortie de salle]]-Tableau43[[#This Row],[Entrée de salle]]</f>
        <v>0.13194444444444442</v>
      </c>
      <c r="M33">
        <v>1</v>
      </c>
    </row>
    <row r="34" spans="1:13" x14ac:dyDescent="0.25">
      <c r="A34" s="56">
        <v>42690</v>
      </c>
      <c r="B34">
        <v>3</v>
      </c>
      <c r="C34" t="s">
        <v>119</v>
      </c>
      <c r="E34" s="57">
        <v>0.3611111111111111</v>
      </c>
      <c r="F34" s="57">
        <v>0.36805555555555558</v>
      </c>
      <c r="G34" s="57">
        <v>0.37847222222222227</v>
      </c>
      <c r="H34" s="57">
        <v>0.47569444444444442</v>
      </c>
      <c r="I34" s="57">
        <v>0.47638888888888892</v>
      </c>
      <c r="J34" s="57">
        <v>0.52777777777777779</v>
      </c>
      <c r="K34" s="58">
        <f>Tableau43[[#This Row],[Fermeture]]-Tableau43[[#This Row],[Incision]]</f>
        <v>9.7222222222222154E-2</v>
      </c>
      <c r="L34" s="58">
        <f>Tableau43[[#This Row],[Sortie de salle]]-Tableau43[[#This Row],[Entrée de salle]]</f>
        <v>0.11527777777777781</v>
      </c>
      <c r="M34">
        <v>1</v>
      </c>
    </row>
    <row r="35" spans="1:13" x14ac:dyDescent="0.25">
      <c r="A35" s="56">
        <v>42690</v>
      </c>
      <c r="B35">
        <v>1</v>
      </c>
      <c r="C35" t="s">
        <v>153</v>
      </c>
      <c r="E35" s="57">
        <v>0.36458333333333331</v>
      </c>
      <c r="F35" s="57">
        <v>0.38541666666666669</v>
      </c>
      <c r="G35" s="57">
        <v>0.40625</v>
      </c>
      <c r="H35" s="57">
        <v>0.53819444444444442</v>
      </c>
      <c r="I35" s="57">
        <v>0.54166666666666663</v>
      </c>
      <c r="J35" s="57">
        <v>0.60416666666666663</v>
      </c>
      <c r="K35" s="58">
        <f>Tableau43[[#This Row],[Fermeture]]-Tableau43[[#This Row],[Incision]]</f>
        <v>0.13194444444444442</v>
      </c>
      <c r="L35" s="58">
        <f>Tableau43[[#This Row],[Sortie de salle]]-Tableau43[[#This Row],[Entrée de salle]]</f>
        <v>0.17708333333333331</v>
      </c>
      <c r="M35">
        <v>1</v>
      </c>
    </row>
    <row r="36" spans="1:13" x14ac:dyDescent="0.25">
      <c r="A36" s="56">
        <v>42690</v>
      </c>
      <c r="B36">
        <v>2</v>
      </c>
      <c r="C36" t="s">
        <v>154</v>
      </c>
      <c r="E36" s="57">
        <v>0.49305555555555558</v>
      </c>
      <c r="F36" s="57">
        <v>0.50694444444444442</v>
      </c>
      <c r="G36" s="57">
        <v>0.51388888888888895</v>
      </c>
      <c r="H36" s="57">
        <v>0.55555555555555558</v>
      </c>
      <c r="I36" s="57">
        <v>0.56944444444444442</v>
      </c>
      <c r="J36" s="57">
        <v>0.59375</v>
      </c>
      <c r="K36" s="58">
        <f>Tableau43[[#This Row],[Fermeture]]-Tableau43[[#This Row],[Incision]]</f>
        <v>4.166666666666663E-2</v>
      </c>
      <c r="L36" s="58">
        <f>Tableau43[[#This Row],[Sortie de salle]]-Tableau43[[#This Row],[Entrée de salle]]</f>
        <v>7.638888888888884E-2</v>
      </c>
      <c r="M36">
        <v>1</v>
      </c>
    </row>
    <row r="37" spans="1:13" x14ac:dyDescent="0.25">
      <c r="A37" s="56">
        <v>42690</v>
      </c>
      <c r="B37">
        <v>3</v>
      </c>
      <c r="C37" t="s">
        <v>155</v>
      </c>
      <c r="E37" s="57">
        <v>0.52777777777777779</v>
      </c>
      <c r="F37" s="57">
        <v>0.55555555555555558</v>
      </c>
      <c r="G37" s="57">
        <v>0.56944444444444442</v>
      </c>
      <c r="H37" s="57">
        <v>0.58333333333333337</v>
      </c>
      <c r="I37" s="57">
        <v>0.59375</v>
      </c>
      <c r="J37" s="57">
        <v>0.61805555555555558</v>
      </c>
      <c r="K37" s="58">
        <f>Tableau43[[#This Row],[Fermeture]]-Tableau43[[#This Row],[Incision]]</f>
        <v>1.3888888888888951E-2</v>
      </c>
      <c r="L37" s="58">
        <f>Tableau43[[#This Row],[Sortie de salle]]-Tableau43[[#This Row],[Entrée de salle]]</f>
        <v>6.597222222222221E-2</v>
      </c>
      <c r="M37">
        <v>1</v>
      </c>
    </row>
    <row r="38" spans="1:13" x14ac:dyDescent="0.25">
      <c r="A38" s="56">
        <v>42690</v>
      </c>
      <c r="B38">
        <v>2</v>
      </c>
      <c r="C38" t="s">
        <v>35</v>
      </c>
      <c r="E38" s="57">
        <v>0.56944444444444442</v>
      </c>
      <c r="F38" s="57">
        <v>0.58333333333333337</v>
      </c>
      <c r="G38" s="57">
        <v>0.59722222222222221</v>
      </c>
      <c r="H38" s="57">
        <v>0.63888888888888895</v>
      </c>
      <c r="I38" s="57">
        <v>0.64236111111111105</v>
      </c>
      <c r="J38" s="57">
        <v>0.72569444444444453</v>
      </c>
      <c r="K38" s="58">
        <f>Tableau43[[#This Row],[Fermeture]]-Tableau43[[#This Row],[Incision]]</f>
        <v>4.1666666666666741E-2</v>
      </c>
      <c r="L38" s="58">
        <f>Tableau43[[#This Row],[Sortie de salle]]-Tableau43[[#This Row],[Entrée de salle]]</f>
        <v>7.291666666666663E-2</v>
      </c>
      <c r="M38">
        <v>1</v>
      </c>
    </row>
    <row r="39" spans="1:13" x14ac:dyDescent="0.25">
      <c r="A39" s="56">
        <v>42690</v>
      </c>
      <c r="B39">
        <v>1</v>
      </c>
      <c r="C39" t="s">
        <v>156</v>
      </c>
      <c r="E39" s="57">
        <v>0.59027777777777779</v>
      </c>
      <c r="F39" s="57">
        <v>0.60763888888888895</v>
      </c>
      <c r="G39" s="57">
        <v>0.62152777777777779</v>
      </c>
      <c r="H39" s="57">
        <v>0.71527777777777779</v>
      </c>
      <c r="I39" s="57">
        <v>0.72222222222222221</v>
      </c>
      <c r="J39" s="57">
        <v>0.75347222222222221</v>
      </c>
      <c r="K39" s="58">
        <f>Tableau43[[#This Row],[Fermeture]]-Tableau43[[#This Row],[Incision]]</f>
        <v>9.375E-2</v>
      </c>
      <c r="L39" s="58">
        <f>Tableau43[[#This Row],[Sortie de salle]]-Tableau43[[#This Row],[Entrée de salle]]</f>
        <v>0.13194444444444442</v>
      </c>
      <c r="M39">
        <v>1</v>
      </c>
    </row>
    <row r="40" spans="1:13" x14ac:dyDescent="0.25">
      <c r="A40" s="56">
        <v>42690</v>
      </c>
      <c r="B40">
        <v>3</v>
      </c>
      <c r="C40" t="s">
        <v>157</v>
      </c>
      <c r="E40" s="57">
        <v>0.70833333333333337</v>
      </c>
      <c r="F40" s="57">
        <v>0.72222222222222221</v>
      </c>
      <c r="G40" s="57">
        <v>0.72916666666666663</v>
      </c>
      <c r="H40" s="57">
        <v>0.73958333333333337</v>
      </c>
      <c r="I40" s="57">
        <v>0.75</v>
      </c>
      <c r="J40" s="57">
        <v>0.77083333333333337</v>
      </c>
      <c r="K40" s="58">
        <f>Tableau43[[#This Row],[Fermeture]]-Tableau43[[#This Row],[Incision]]</f>
        <v>1.0416666666666741E-2</v>
      </c>
      <c r="L40" s="58">
        <f>Tableau43[[#This Row],[Sortie de salle]]-Tableau43[[#This Row],[Entrée de salle]]</f>
        <v>4.166666666666663E-2</v>
      </c>
      <c r="M40">
        <v>1</v>
      </c>
    </row>
    <row r="41" spans="1:13" x14ac:dyDescent="0.25">
      <c r="A41" s="56">
        <v>42691</v>
      </c>
      <c r="B41">
        <v>2</v>
      </c>
      <c r="C41" t="s">
        <v>36</v>
      </c>
      <c r="E41" s="57">
        <v>0.35416666666666669</v>
      </c>
      <c r="F41" s="57">
        <v>0.36458333333333331</v>
      </c>
      <c r="G41" s="57">
        <v>0.37152777777777773</v>
      </c>
      <c r="H41" s="57">
        <v>0.45833333333333331</v>
      </c>
      <c r="I41" s="57">
        <v>0.46527777777777773</v>
      </c>
      <c r="J41" s="57">
        <v>0.50694444444444442</v>
      </c>
      <c r="K41" s="58">
        <f>Tableau43[[#This Row],[Fermeture]]-Tableau43[[#This Row],[Incision]]</f>
        <v>8.680555555555558E-2</v>
      </c>
      <c r="L41" s="58">
        <f>Tableau43[[#This Row],[Sortie de salle]]-Tableau43[[#This Row],[Entrée de salle]]</f>
        <v>0.11111111111111105</v>
      </c>
      <c r="M41">
        <v>1</v>
      </c>
    </row>
    <row r="42" spans="1:13" x14ac:dyDescent="0.25">
      <c r="A42" s="56">
        <v>42691</v>
      </c>
      <c r="B42">
        <v>3</v>
      </c>
      <c r="C42" t="s">
        <v>158</v>
      </c>
      <c r="E42" s="57">
        <v>0.45833333333333331</v>
      </c>
      <c r="F42" s="57">
        <v>0.47916666666666669</v>
      </c>
      <c r="G42" s="57">
        <v>0.47916666666666669</v>
      </c>
      <c r="H42" s="57">
        <v>0.48958333333333331</v>
      </c>
      <c r="I42" s="57">
        <v>0.5</v>
      </c>
      <c r="J42" s="57">
        <v>0.5</v>
      </c>
      <c r="K42" s="58">
        <f>Tableau43[[#This Row],[Fermeture]]-Tableau43[[#This Row],[Incision]]</f>
        <v>1.041666666666663E-2</v>
      </c>
      <c r="L42" s="58">
        <f>Tableau43[[#This Row],[Sortie de salle]]-Tableau43[[#This Row],[Entrée de salle]]</f>
        <v>4.1666666666666685E-2</v>
      </c>
      <c r="M42">
        <v>1</v>
      </c>
    </row>
    <row r="43" spans="1:13" x14ac:dyDescent="0.25">
      <c r="A43" s="56">
        <v>42691</v>
      </c>
      <c r="B43">
        <v>3</v>
      </c>
      <c r="C43" t="s">
        <v>158</v>
      </c>
      <c r="E43" s="57">
        <v>0.375</v>
      </c>
      <c r="F43" s="57">
        <v>0.37847222222222227</v>
      </c>
      <c r="G43" s="57">
        <v>0.3923611111111111</v>
      </c>
      <c r="H43" s="57">
        <v>0.39583333333333331</v>
      </c>
      <c r="I43" s="57">
        <v>0.39930555555555558</v>
      </c>
      <c r="J43" s="57">
        <v>0.39930555555555558</v>
      </c>
      <c r="K43" s="58">
        <f>Tableau43[[#This Row],[Fermeture]]-Tableau43[[#This Row],[Incision]]</f>
        <v>3.4722222222222099E-3</v>
      </c>
      <c r="L43" s="58">
        <f>Tableau43[[#This Row],[Sortie de salle]]-Tableau43[[#This Row],[Entrée de salle]]</f>
        <v>2.430555555555558E-2</v>
      </c>
      <c r="M43">
        <v>1</v>
      </c>
    </row>
    <row r="44" spans="1:13" x14ac:dyDescent="0.25">
      <c r="A44" s="56">
        <v>42691</v>
      </c>
      <c r="B44">
        <v>3</v>
      </c>
      <c r="C44" t="s">
        <v>158</v>
      </c>
      <c r="E44" s="57">
        <v>0.40625</v>
      </c>
      <c r="F44" s="57">
        <v>0.4201388888888889</v>
      </c>
      <c r="G44" s="57">
        <v>0.4375</v>
      </c>
      <c r="H44" s="57">
        <v>0.44444444444444442</v>
      </c>
      <c r="I44" s="57">
        <v>0.44791666666666669</v>
      </c>
      <c r="J44" s="57">
        <v>0.44791666666666669</v>
      </c>
      <c r="K44" s="58">
        <f>Tableau43[[#This Row],[Fermeture]]-Tableau43[[#This Row],[Incision]]</f>
        <v>6.9444444444444198E-3</v>
      </c>
      <c r="L44" s="58">
        <f>Tableau43[[#This Row],[Sortie de salle]]-Tableau43[[#This Row],[Entrée de salle]]</f>
        <v>4.1666666666666685E-2</v>
      </c>
      <c r="M44">
        <v>1</v>
      </c>
    </row>
    <row r="45" spans="1:13" x14ac:dyDescent="0.25">
      <c r="A45" s="56">
        <v>42691</v>
      </c>
      <c r="B45">
        <v>1</v>
      </c>
      <c r="C45" t="s">
        <v>159</v>
      </c>
      <c r="E45" s="57">
        <v>0.38194444444444442</v>
      </c>
      <c r="F45" s="57">
        <v>0.39583333333333331</v>
      </c>
      <c r="G45" s="57">
        <v>0.41319444444444442</v>
      </c>
      <c r="H45" s="57">
        <v>0.49652777777777773</v>
      </c>
      <c r="I45" s="57">
        <v>0.51388888888888895</v>
      </c>
      <c r="J45" s="57">
        <v>0.55902777777777779</v>
      </c>
      <c r="K45" s="58">
        <f>Tableau43[[#This Row],[Fermeture]]-Tableau43[[#This Row],[Incision]]</f>
        <v>8.3333333333333315E-2</v>
      </c>
      <c r="L45" s="58">
        <f>Tableau43[[#This Row],[Sortie de salle]]-Tableau43[[#This Row],[Entrée de salle]]</f>
        <v>0.13194444444444453</v>
      </c>
      <c r="M45">
        <v>1</v>
      </c>
    </row>
    <row r="46" spans="1:13" x14ac:dyDescent="0.25">
      <c r="A46" s="56">
        <v>42695</v>
      </c>
      <c r="B46">
        <v>1</v>
      </c>
      <c r="C46" t="s">
        <v>156</v>
      </c>
      <c r="E46" s="57">
        <v>0.59375</v>
      </c>
      <c r="F46" s="57">
        <v>0.60416666666666663</v>
      </c>
      <c r="G46" s="57">
        <v>0.62847222222222221</v>
      </c>
      <c r="H46" s="57">
        <v>0.75347222222222221</v>
      </c>
      <c r="I46" s="57">
        <v>0.76736111111111116</v>
      </c>
      <c r="J46" s="57">
        <v>0.79166666666666663</v>
      </c>
      <c r="K46" s="58">
        <f>Tableau43[[#This Row],[Fermeture]]-Tableau43[[#This Row],[Incision]]</f>
        <v>0.125</v>
      </c>
      <c r="L46" s="58">
        <f>Tableau43[[#This Row],[Sortie de salle]]-Tableau43[[#This Row],[Entrée de salle]]</f>
        <v>0.17361111111111116</v>
      </c>
      <c r="M46">
        <v>1</v>
      </c>
    </row>
    <row r="47" spans="1:13" x14ac:dyDescent="0.25">
      <c r="A47" s="56">
        <v>42696</v>
      </c>
      <c r="B47">
        <v>2</v>
      </c>
      <c r="C47" t="s">
        <v>36</v>
      </c>
      <c r="E47" s="57">
        <v>0.3611111111111111</v>
      </c>
      <c r="F47" s="57">
        <v>0.375</v>
      </c>
      <c r="G47" s="57">
        <v>0.38541666666666669</v>
      </c>
      <c r="H47" s="57">
        <v>0.40277777777777773</v>
      </c>
      <c r="I47" s="57">
        <v>0.41319444444444442</v>
      </c>
      <c r="J47" s="57">
        <v>0.4548611111111111</v>
      </c>
      <c r="K47" s="58">
        <f>Tableau43[[#This Row],[Fermeture]]-Tableau43[[#This Row],[Incision]]</f>
        <v>1.7361111111111049E-2</v>
      </c>
      <c r="L47" s="58">
        <f>Tableau43[[#This Row],[Sortie de salle]]-Tableau43[[#This Row],[Entrée de salle]]</f>
        <v>5.2083333333333315E-2</v>
      </c>
      <c r="M47">
        <v>1</v>
      </c>
    </row>
    <row r="48" spans="1:13" x14ac:dyDescent="0.25">
      <c r="A48" s="56">
        <v>42696</v>
      </c>
      <c r="B48">
        <v>3</v>
      </c>
      <c r="C48" t="s">
        <v>46</v>
      </c>
      <c r="E48" s="57">
        <v>0.375</v>
      </c>
      <c r="F48" s="57">
        <v>0.39583333333333331</v>
      </c>
      <c r="G48" s="57">
        <v>0.40625</v>
      </c>
      <c r="H48" s="57">
        <v>0.47916666666666669</v>
      </c>
      <c r="I48" s="57">
        <v>0.4826388888888889</v>
      </c>
      <c r="J48" s="57">
        <v>0.52430555555555558</v>
      </c>
      <c r="K48" s="58">
        <f>Tableau43[[#This Row],[Fermeture]]-Tableau43[[#This Row],[Incision]]</f>
        <v>7.2916666666666685E-2</v>
      </c>
      <c r="L48" s="58">
        <f>Tableau43[[#This Row],[Sortie de salle]]-Tableau43[[#This Row],[Entrée de salle]]</f>
        <v>0.1076388888888889</v>
      </c>
      <c r="M48">
        <v>1</v>
      </c>
    </row>
    <row r="49" spans="1:13" x14ac:dyDescent="0.25">
      <c r="A49" s="56">
        <v>42696</v>
      </c>
      <c r="B49">
        <v>1</v>
      </c>
      <c r="C49" t="s">
        <v>160</v>
      </c>
      <c r="E49" s="57">
        <v>0.39930555555555558</v>
      </c>
      <c r="F49" s="57">
        <v>0.4236111111111111</v>
      </c>
      <c r="G49" s="57">
        <v>0.43611111111111112</v>
      </c>
      <c r="H49" s="57">
        <v>0.4826388888888889</v>
      </c>
      <c r="I49" s="57">
        <v>0.49305555555555558</v>
      </c>
      <c r="J49" s="57">
        <v>0.54513888888888895</v>
      </c>
      <c r="K49" s="58">
        <f>Tableau43[[#This Row],[Fermeture]]-Tableau43[[#This Row],[Incision]]</f>
        <v>4.6527777777777779E-2</v>
      </c>
      <c r="L49" s="58">
        <f>Tableau43[[#This Row],[Sortie de salle]]-Tableau43[[#This Row],[Entrée de salle]]</f>
        <v>9.375E-2</v>
      </c>
      <c r="M49">
        <v>1</v>
      </c>
    </row>
    <row r="50" spans="1:13" x14ac:dyDescent="0.25">
      <c r="A50" s="56">
        <v>42696</v>
      </c>
      <c r="B50">
        <v>2</v>
      </c>
      <c r="C50" t="s">
        <v>160</v>
      </c>
      <c r="E50" s="57">
        <v>0.47222222222222227</v>
      </c>
      <c r="F50" s="57">
        <v>0.5</v>
      </c>
      <c r="G50" s="57">
        <v>0.50694444444444442</v>
      </c>
      <c r="H50" s="57">
        <v>0.51736111111111105</v>
      </c>
      <c r="I50" s="57">
        <v>0.52083333333333337</v>
      </c>
      <c r="J50" s="57">
        <v>0.55902777777777779</v>
      </c>
      <c r="K50" s="58">
        <f>Tableau43[[#This Row],[Fermeture]]-Tableau43[[#This Row],[Incision]]</f>
        <v>1.041666666666663E-2</v>
      </c>
      <c r="L50" s="58">
        <f>Tableau43[[#This Row],[Sortie de salle]]-Tableau43[[#This Row],[Entrée de salle]]</f>
        <v>4.8611111111111105E-2</v>
      </c>
      <c r="M50">
        <v>1</v>
      </c>
    </row>
    <row r="51" spans="1:13" x14ac:dyDescent="0.25">
      <c r="A51" s="56">
        <v>42696</v>
      </c>
      <c r="B51">
        <v>3</v>
      </c>
      <c r="C51" t="s">
        <v>153</v>
      </c>
      <c r="E51" s="57">
        <v>0.52083333333333337</v>
      </c>
      <c r="F51" s="57">
        <v>0.54513888888888895</v>
      </c>
      <c r="G51" s="57">
        <v>0.55902777777777779</v>
      </c>
      <c r="H51" s="57">
        <v>0.64930555555555558</v>
      </c>
      <c r="I51" s="57">
        <v>0.67361111111111116</v>
      </c>
      <c r="J51" s="57">
        <v>0.71180555555555547</v>
      </c>
      <c r="K51" s="58">
        <f>Tableau43[[#This Row],[Fermeture]]-Tableau43[[#This Row],[Incision]]</f>
        <v>9.027777777777779E-2</v>
      </c>
      <c r="L51" s="58">
        <f>Tableau43[[#This Row],[Sortie de salle]]-Tableau43[[#This Row],[Entrée de salle]]</f>
        <v>0.15277777777777779</v>
      </c>
      <c r="M51">
        <v>1</v>
      </c>
    </row>
    <row r="52" spans="1:13" x14ac:dyDescent="0.25">
      <c r="A52" s="56">
        <v>42697</v>
      </c>
      <c r="B52">
        <v>1</v>
      </c>
      <c r="C52" t="s">
        <v>161</v>
      </c>
      <c r="E52" s="57">
        <v>0.3611111111111111</v>
      </c>
      <c r="F52" s="57">
        <v>0.38541666666666669</v>
      </c>
      <c r="G52" s="57">
        <v>0.40972222222222227</v>
      </c>
      <c r="H52" s="57">
        <v>0.55763888888888891</v>
      </c>
      <c r="I52" s="57">
        <v>0.56597222222222221</v>
      </c>
      <c r="J52" s="57">
        <v>0.64583333333333337</v>
      </c>
      <c r="K52" s="58">
        <f>Tableau43[[#This Row],[Fermeture]]-Tableau43[[#This Row],[Incision]]</f>
        <v>0.14791666666666664</v>
      </c>
      <c r="L52" s="58">
        <f>Tableau43[[#This Row],[Sortie de salle]]-Tableau43[[#This Row],[Entrée de salle]]</f>
        <v>0.2048611111111111</v>
      </c>
      <c r="M52">
        <v>1</v>
      </c>
    </row>
    <row r="53" spans="1:13" x14ac:dyDescent="0.25">
      <c r="A53" s="56">
        <v>42697</v>
      </c>
      <c r="B53">
        <v>2</v>
      </c>
      <c r="C53" t="s">
        <v>162</v>
      </c>
      <c r="E53" s="57">
        <v>0.54861111111111105</v>
      </c>
      <c r="F53" s="57">
        <v>0.57638888888888895</v>
      </c>
      <c r="G53" s="57">
        <v>0.58333333333333337</v>
      </c>
      <c r="H53" s="57">
        <v>0.59027777777777779</v>
      </c>
      <c r="I53" s="57">
        <v>0.59375</v>
      </c>
      <c r="J53" s="57">
        <v>0.625</v>
      </c>
      <c r="K53" s="58">
        <f>Tableau43[[#This Row],[Fermeture]]-Tableau43[[#This Row],[Incision]]</f>
        <v>6.9444444444444198E-3</v>
      </c>
      <c r="L53" s="58">
        <f>Tableau43[[#This Row],[Sortie de salle]]-Tableau43[[#This Row],[Entrée de salle]]</f>
        <v>4.5138888888888951E-2</v>
      </c>
      <c r="M53">
        <v>1</v>
      </c>
    </row>
    <row r="54" spans="1:13" x14ac:dyDescent="0.25">
      <c r="A54" s="56">
        <v>42697</v>
      </c>
      <c r="B54">
        <v>1</v>
      </c>
      <c r="C54" t="s">
        <v>161</v>
      </c>
      <c r="E54" s="57">
        <v>0.57291666666666663</v>
      </c>
      <c r="F54" s="57">
        <v>0.59722222222222221</v>
      </c>
      <c r="G54" s="57">
        <v>0.61458333333333337</v>
      </c>
      <c r="H54" s="57">
        <v>0.68055555555555547</v>
      </c>
      <c r="I54" s="57">
        <v>0.69791666666666663</v>
      </c>
      <c r="J54" s="57">
        <v>0.73611111111111116</v>
      </c>
      <c r="K54" s="58">
        <f>Tableau43[[#This Row],[Fermeture]]-Tableau43[[#This Row],[Incision]]</f>
        <v>6.5972222222222099E-2</v>
      </c>
      <c r="L54" s="58">
        <f>Tableau43[[#This Row],[Sortie de salle]]-Tableau43[[#This Row],[Entrée de salle]]</f>
        <v>0.125</v>
      </c>
      <c r="M54">
        <v>1</v>
      </c>
    </row>
    <row r="55" spans="1:13" x14ac:dyDescent="0.25">
      <c r="A55" s="56">
        <v>42702</v>
      </c>
      <c r="B55">
        <v>1</v>
      </c>
      <c r="C55" t="s">
        <v>163</v>
      </c>
      <c r="E55" s="57">
        <v>0.59722222222222221</v>
      </c>
      <c r="F55" s="57">
        <v>0.60416666666666663</v>
      </c>
      <c r="G55" s="57">
        <v>0.62152777777777779</v>
      </c>
      <c r="H55" s="57">
        <v>0.67708333333333337</v>
      </c>
      <c r="I55" s="57">
        <v>0.69791666666666663</v>
      </c>
      <c r="J55" s="57">
        <v>0.72916666666666663</v>
      </c>
      <c r="K55" s="58">
        <f>Tableau43[[#This Row],[Fermeture]]-Tableau43[[#This Row],[Incision]]</f>
        <v>5.555555555555558E-2</v>
      </c>
      <c r="L55" s="58">
        <f>Tableau43[[#This Row],[Sortie de salle]]-Tableau43[[#This Row],[Entrée de salle]]</f>
        <v>0.10069444444444442</v>
      </c>
      <c r="M55">
        <v>1</v>
      </c>
    </row>
    <row r="56" spans="1:13" x14ac:dyDescent="0.25">
      <c r="A56" s="56">
        <v>42703</v>
      </c>
      <c r="B56">
        <v>1</v>
      </c>
      <c r="C56" t="s">
        <v>57</v>
      </c>
      <c r="E56" s="57">
        <v>0.35416666666666669</v>
      </c>
      <c r="F56" s="57">
        <v>0.36805555555555558</v>
      </c>
      <c r="G56" s="57">
        <v>0.37847222222222227</v>
      </c>
      <c r="H56" s="57">
        <v>0.40277777777777773</v>
      </c>
      <c r="I56" s="57">
        <v>0.40625</v>
      </c>
      <c r="J56" s="57">
        <v>0.4826388888888889</v>
      </c>
      <c r="K56" s="58">
        <f>Tableau43[[#This Row],[Fermeture]]-Tableau43[[#This Row],[Incision]]</f>
        <v>2.4305555555555469E-2</v>
      </c>
      <c r="L56" s="58">
        <f>Tableau43[[#This Row],[Sortie de salle]]-Tableau43[[#This Row],[Entrée de salle]]</f>
        <v>5.2083333333333315E-2</v>
      </c>
      <c r="M56">
        <v>1</v>
      </c>
    </row>
    <row r="57" spans="1:13" x14ac:dyDescent="0.25">
      <c r="A57" s="56">
        <v>42703</v>
      </c>
      <c r="B57">
        <v>3</v>
      </c>
      <c r="C57" t="s">
        <v>59</v>
      </c>
      <c r="E57" s="57">
        <v>0.33333333333333331</v>
      </c>
      <c r="F57" s="57">
        <v>0.38541666666666669</v>
      </c>
      <c r="G57" s="57">
        <v>0.3923611111111111</v>
      </c>
      <c r="H57" s="57">
        <v>0.39930555555555558</v>
      </c>
      <c r="I57" s="57">
        <v>0.40625</v>
      </c>
      <c r="J57" s="57">
        <v>0.44097222222222227</v>
      </c>
      <c r="K57" s="58">
        <f>Tableau43[[#This Row],[Fermeture]]-Tableau43[[#This Row],[Incision]]</f>
        <v>6.9444444444444753E-3</v>
      </c>
      <c r="L57" s="58">
        <f>Tableau43[[#This Row],[Sortie de salle]]-Tableau43[[#This Row],[Entrée de salle]]</f>
        <v>7.2916666666666685E-2</v>
      </c>
      <c r="M57">
        <v>1</v>
      </c>
    </row>
    <row r="58" spans="1:13" x14ac:dyDescent="0.25">
      <c r="A58" s="56">
        <v>42703</v>
      </c>
      <c r="B58">
        <v>1</v>
      </c>
      <c r="C58" t="s">
        <v>160</v>
      </c>
      <c r="E58" s="57">
        <v>0.4201388888888889</v>
      </c>
      <c r="F58" s="57">
        <v>0.42708333333333331</v>
      </c>
      <c r="G58" s="57">
        <v>0.44791666666666669</v>
      </c>
      <c r="H58" s="57">
        <v>0.45833333333333331</v>
      </c>
      <c r="I58" s="57">
        <v>0.46180555555555558</v>
      </c>
      <c r="J58" s="57">
        <v>0.5</v>
      </c>
      <c r="K58" s="58">
        <f>Tableau43[[#This Row],[Fermeture]]-Tableau43[[#This Row],[Incision]]</f>
        <v>1.041666666666663E-2</v>
      </c>
      <c r="L58" s="58">
        <f>Tableau43[[#This Row],[Sortie de salle]]-Tableau43[[#This Row],[Entrée de salle]]</f>
        <v>4.1666666666666685E-2</v>
      </c>
      <c r="M58">
        <v>1</v>
      </c>
    </row>
    <row r="59" spans="1:13" x14ac:dyDescent="0.25">
      <c r="A59" s="56">
        <v>42703</v>
      </c>
      <c r="B59">
        <v>3</v>
      </c>
      <c r="C59" t="s">
        <v>62</v>
      </c>
      <c r="E59" s="57">
        <v>0.42708333333333331</v>
      </c>
      <c r="F59" s="57">
        <v>0.43402777777777773</v>
      </c>
      <c r="G59" s="57">
        <v>0.44444444444444442</v>
      </c>
      <c r="H59" s="57">
        <v>0.51736111111111105</v>
      </c>
      <c r="I59" s="57">
        <v>0.52777777777777779</v>
      </c>
      <c r="J59" s="57">
        <v>0.58333333333333337</v>
      </c>
      <c r="K59" s="58">
        <f>Tableau43[[#This Row],[Fermeture]]-Tableau43[[#This Row],[Incision]]</f>
        <v>7.291666666666663E-2</v>
      </c>
      <c r="L59" s="58">
        <f>Tableau43[[#This Row],[Sortie de salle]]-Tableau43[[#This Row],[Entrée de salle]]</f>
        <v>0.10069444444444448</v>
      </c>
      <c r="M59">
        <v>1</v>
      </c>
    </row>
    <row r="60" spans="1:13" x14ac:dyDescent="0.25">
      <c r="A60" s="56">
        <v>42703</v>
      </c>
      <c r="B60">
        <v>1</v>
      </c>
      <c r="C60" t="s">
        <v>164</v>
      </c>
      <c r="E60" s="57">
        <v>0.47916666666666669</v>
      </c>
      <c r="F60" s="57">
        <v>0.4861111111111111</v>
      </c>
      <c r="G60" s="57">
        <v>0.51388888888888895</v>
      </c>
      <c r="H60" s="57">
        <v>0.52777777777777779</v>
      </c>
      <c r="I60" s="57">
        <v>0.53819444444444442</v>
      </c>
      <c r="J60" s="57">
        <v>0.625</v>
      </c>
      <c r="K60" s="58">
        <f>Tableau43[[#This Row],[Fermeture]]-Tableau43[[#This Row],[Incision]]</f>
        <v>1.388888888888884E-2</v>
      </c>
      <c r="L60" s="58">
        <f>Tableau43[[#This Row],[Sortie de salle]]-Tableau43[[#This Row],[Entrée de salle]]</f>
        <v>5.9027777777777735E-2</v>
      </c>
      <c r="M60">
        <v>1</v>
      </c>
    </row>
    <row r="61" spans="1:13" x14ac:dyDescent="0.25">
      <c r="A61" s="56">
        <v>42703</v>
      </c>
      <c r="B61">
        <v>2</v>
      </c>
      <c r="C61" t="s">
        <v>165</v>
      </c>
      <c r="E61" s="57">
        <v>0.3611111111111111</v>
      </c>
      <c r="F61" s="57">
        <v>0.38194444444444442</v>
      </c>
      <c r="G61" s="57">
        <v>0.40972222222222227</v>
      </c>
      <c r="H61" s="57">
        <v>0.5625</v>
      </c>
      <c r="I61" s="57">
        <v>0.57291666666666663</v>
      </c>
      <c r="J61" s="57">
        <v>0.65972222222222221</v>
      </c>
      <c r="K61" s="58">
        <f>Tableau43[[#This Row],[Fermeture]]-Tableau43[[#This Row],[Incision]]</f>
        <v>0.15277777777777773</v>
      </c>
      <c r="L61" s="58">
        <f>Tableau43[[#This Row],[Sortie de salle]]-Tableau43[[#This Row],[Entrée de salle]]</f>
        <v>0.21180555555555552</v>
      </c>
      <c r="M61">
        <v>1</v>
      </c>
    </row>
    <row r="62" spans="1:13" x14ac:dyDescent="0.25">
      <c r="A62" s="56">
        <v>42703</v>
      </c>
      <c r="B62">
        <v>1</v>
      </c>
      <c r="C62" t="s">
        <v>57</v>
      </c>
      <c r="E62" s="57">
        <v>0.55208333333333337</v>
      </c>
      <c r="F62" s="57">
        <v>0.55902777777777779</v>
      </c>
      <c r="G62" s="57">
        <v>0.58333333333333337</v>
      </c>
      <c r="H62" s="57">
        <v>0.63194444444444442</v>
      </c>
      <c r="I62" s="57">
        <v>0.64930555555555558</v>
      </c>
      <c r="J62" s="57">
        <v>0.6875</v>
      </c>
      <c r="K62" s="58">
        <f>Tableau43[[#This Row],[Fermeture]]-Tableau43[[#This Row],[Incision]]</f>
        <v>4.8611111111111049E-2</v>
      </c>
      <c r="L62" s="58">
        <f>Tableau43[[#This Row],[Sortie de salle]]-Tableau43[[#This Row],[Entrée de salle]]</f>
        <v>9.722222222222221E-2</v>
      </c>
      <c r="M62">
        <v>1</v>
      </c>
    </row>
    <row r="63" spans="1:13" x14ac:dyDescent="0.25">
      <c r="A63" s="56">
        <v>42704</v>
      </c>
      <c r="B63">
        <v>3</v>
      </c>
      <c r="C63" t="s">
        <v>163</v>
      </c>
      <c r="E63" s="57">
        <v>0.3611111111111111</v>
      </c>
      <c r="F63" s="57">
        <v>0.36805555555555558</v>
      </c>
      <c r="G63" s="57">
        <v>0.37638888888888888</v>
      </c>
      <c r="H63" s="57">
        <v>0.41805555555555557</v>
      </c>
      <c r="I63" s="57">
        <v>0.4201388888888889</v>
      </c>
      <c r="J63" s="57">
        <v>0.4548611111111111</v>
      </c>
      <c r="K63" s="58">
        <f>Tableau43[[#This Row],[Fermeture]]-Tableau43[[#This Row],[Incision]]</f>
        <v>4.1666666666666685E-2</v>
      </c>
      <c r="L63" s="58">
        <f>Tableau43[[#This Row],[Sortie de salle]]-Tableau43[[#This Row],[Entrée de salle]]</f>
        <v>5.902777777777779E-2</v>
      </c>
      <c r="M63">
        <v>1</v>
      </c>
    </row>
    <row r="64" spans="1:13" x14ac:dyDescent="0.25">
      <c r="A64" s="56">
        <v>42704</v>
      </c>
      <c r="B64">
        <v>1</v>
      </c>
      <c r="C64" t="s">
        <v>44</v>
      </c>
      <c r="E64" s="57">
        <v>0.42708333333333331</v>
      </c>
      <c r="F64" s="57">
        <v>0.4375</v>
      </c>
      <c r="G64" s="57">
        <v>0.45833333333333331</v>
      </c>
      <c r="H64" s="57">
        <v>0.58333333333333337</v>
      </c>
      <c r="I64" s="57">
        <v>0.59722222222222221</v>
      </c>
      <c r="J64" s="57">
        <v>0.63194444444444442</v>
      </c>
      <c r="K64" s="58">
        <f>Tableau43[[#This Row],[Fermeture]]-Tableau43[[#This Row],[Incision]]</f>
        <v>0.12500000000000006</v>
      </c>
      <c r="L64" s="58">
        <f>Tableau43[[#This Row],[Sortie de salle]]-Tableau43[[#This Row],[Entrée de salle]]</f>
        <v>0.1701388888888889</v>
      </c>
      <c r="M64">
        <v>1</v>
      </c>
    </row>
    <row r="65" spans="1:13" x14ac:dyDescent="0.25">
      <c r="A65" s="56">
        <v>42704</v>
      </c>
      <c r="B65">
        <v>2</v>
      </c>
      <c r="C65" t="s">
        <v>166</v>
      </c>
      <c r="E65" s="57">
        <v>0.67013888888888884</v>
      </c>
      <c r="F65" s="57">
        <v>0.67361111111111116</v>
      </c>
      <c r="G65" s="57">
        <v>0.67361111111111116</v>
      </c>
      <c r="H65" s="57">
        <v>0.69791666666666663</v>
      </c>
      <c r="I65" s="57">
        <v>0.70486111111111116</v>
      </c>
      <c r="J65" s="57">
        <v>0.70833333333333337</v>
      </c>
      <c r="K65" s="58">
        <f>Tableau43[[#This Row],[Fermeture]]-Tableau43[[#This Row],[Incision]]</f>
        <v>2.4305555555555469E-2</v>
      </c>
      <c r="L65" s="58">
        <f>Tableau43[[#This Row],[Sortie de salle]]-Tableau43[[#This Row],[Entrée de salle]]</f>
        <v>3.4722222222222321E-2</v>
      </c>
      <c r="M65">
        <v>1</v>
      </c>
    </row>
    <row r="66" spans="1:13" x14ac:dyDescent="0.25">
      <c r="A66" s="56"/>
      <c r="E66" s="57"/>
      <c r="F66" s="57"/>
      <c r="G66" s="57"/>
      <c r="H66" s="57"/>
      <c r="I66" s="57"/>
      <c r="J66" s="57"/>
      <c r="K66" s="59">
        <f>SUBTOTAL(109,Tableau43[temps opératoire])</f>
        <v>4.8090277777777786</v>
      </c>
      <c r="L66" s="59">
        <f>SUBTOTAL(109,Tableau43[temps d''occupation de salle])</f>
        <v>7.2020833333333352</v>
      </c>
      <c r="M66">
        <f>SUBTOTAL(109,Tableau43[Colonne1])</f>
        <v>64</v>
      </c>
    </row>
    <row r="67" spans="1:13" ht="15.75" thickBot="1" x14ac:dyDescent="0.3"/>
    <row r="68" spans="1:13" ht="15.75" thickBot="1" x14ac:dyDescent="0.3">
      <c r="C68" s="60" t="s">
        <v>72</v>
      </c>
      <c r="D68" s="61">
        <v>0</v>
      </c>
      <c r="E68" s="62">
        <v>2.0833333333333332E-2</v>
      </c>
      <c r="F68" s="62">
        <v>4.1666666666666664E-2</v>
      </c>
      <c r="G68" s="62">
        <v>6.25E-2</v>
      </c>
      <c r="H68" s="62">
        <v>8.3333333333333301E-2</v>
      </c>
      <c r="I68" s="62">
        <v>0.104166666666667</v>
      </c>
      <c r="J68" s="62">
        <v>0.125</v>
      </c>
      <c r="K68" s="63">
        <v>0.29166666666666669</v>
      </c>
      <c r="L68" s="64" t="s">
        <v>73</v>
      </c>
    </row>
    <row r="69" spans="1:13" ht="15.75" thickBot="1" x14ac:dyDescent="0.3">
      <c r="C69" s="65" t="s">
        <v>74</v>
      </c>
      <c r="D69" s="66"/>
      <c r="E69" s="67">
        <f>SUMIFS($M$2:$M$65,$K$2:$K$65,"&gt;="&amp;D68,$K$2:$K$65,"&lt;"&amp;E68)</f>
        <v>13</v>
      </c>
      <c r="F69" s="67">
        <f t="shared" ref="F69:K69" si="0">SUMIFS($M$2:$M$65,$K$2:$K$65,"&gt;="&amp;E68,$K$2:$K$65,"&lt;"&amp;F68)</f>
        <v>6</v>
      </c>
      <c r="G69" s="67">
        <f t="shared" si="0"/>
        <v>8</v>
      </c>
      <c r="H69" s="67">
        <f t="shared" si="0"/>
        <v>5</v>
      </c>
      <c r="I69" s="67">
        <f t="shared" si="0"/>
        <v>11</v>
      </c>
      <c r="J69" s="67">
        <f t="shared" si="0"/>
        <v>6</v>
      </c>
      <c r="K69" s="67">
        <f t="shared" si="0"/>
        <v>15</v>
      </c>
      <c r="L69" s="68">
        <f>SUM(E69:K69)</f>
        <v>64</v>
      </c>
    </row>
    <row r="70" spans="1:13" ht="15.75" thickBot="1" x14ac:dyDescent="0.3">
      <c r="C70" s="65" t="s">
        <v>75</v>
      </c>
      <c r="D70" s="69"/>
      <c r="E70" s="70">
        <f>E69/$L$69</f>
        <v>0.203125</v>
      </c>
      <c r="F70" s="70">
        <f t="shared" ref="F70:L70" si="1">F69/$L$69</f>
        <v>9.375E-2</v>
      </c>
      <c r="G70" s="70">
        <f t="shared" si="1"/>
        <v>0.125</v>
      </c>
      <c r="H70" s="70">
        <f t="shared" si="1"/>
        <v>7.8125E-2</v>
      </c>
      <c r="I70" s="70">
        <f t="shared" si="1"/>
        <v>0.171875</v>
      </c>
      <c r="J70" s="70">
        <f t="shared" si="1"/>
        <v>9.375E-2</v>
      </c>
      <c r="K70" s="70">
        <f t="shared" si="1"/>
        <v>0.234375</v>
      </c>
      <c r="L70" s="70">
        <f t="shared" si="1"/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3"/>
  <sheetViews>
    <sheetView zoomScale="55" zoomScaleNormal="55" workbookViewId="0">
      <selection activeCell="R88" sqref="R88"/>
    </sheetView>
  </sheetViews>
  <sheetFormatPr baseColWidth="10" defaultRowHeight="15" x14ac:dyDescent="0.25"/>
  <cols>
    <col min="1" max="1" width="26.85546875" style="9" customWidth="1"/>
    <col min="2" max="2" width="9.85546875" style="9" bestFit="1" customWidth="1"/>
    <col min="3" max="3" width="33" style="9" bestFit="1" customWidth="1"/>
    <col min="4" max="4" width="18.85546875" style="9" bestFit="1" customWidth="1"/>
    <col min="5" max="5" width="24.28515625" style="9" bestFit="1" customWidth="1"/>
    <col min="6" max="6" width="16.85546875" style="9" bestFit="1" customWidth="1"/>
    <col min="7" max="8" width="15.7109375" style="9" bestFit="1" customWidth="1"/>
    <col min="9" max="9" width="22.85546875" style="9" bestFit="1" customWidth="1"/>
    <col min="10" max="10" width="17.42578125" style="9" bestFit="1" customWidth="1"/>
    <col min="11" max="11" width="22.7109375" style="9" bestFit="1" customWidth="1"/>
    <col min="12" max="12" width="33.28515625" style="9" bestFit="1" customWidth="1"/>
    <col min="13" max="13" width="14.7109375" style="9" bestFit="1" customWidth="1"/>
    <col min="14" max="14" width="13.7109375" style="9" bestFit="1" customWidth="1"/>
    <col min="15" max="15" width="11.5703125" style="9" bestFit="1" customWidth="1"/>
    <col min="16" max="16" width="15.5703125" style="9" bestFit="1" customWidth="1"/>
    <col min="17" max="17" width="14.28515625" style="9" bestFit="1" customWidth="1"/>
    <col min="18" max="18" width="15.28515625" style="9" bestFit="1" customWidth="1"/>
    <col min="19" max="19" width="12.28515625" style="9" bestFit="1" customWidth="1"/>
    <col min="20" max="20" width="25.140625" style="9" bestFit="1" customWidth="1"/>
    <col min="21" max="21" width="24" style="9" bestFit="1" customWidth="1"/>
    <col min="22" max="22" width="18.7109375" style="9" bestFit="1" customWidth="1"/>
    <col min="23" max="23" width="14.7109375" style="24" bestFit="1" customWidth="1"/>
    <col min="24" max="24" width="14.7109375" style="9" bestFit="1" customWidth="1"/>
    <col min="25" max="16384" width="11.42578125" style="9"/>
  </cols>
  <sheetData>
    <row r="1" spans="1:24" ht="47.2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2" t="s">
        <v>10</v>
      </c>
      <c r="L1" s="2" t="s">
        <v>11</v>
      </c>
      <c r="M1" s="5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7" t="s">
        <v>18</v>
      </c>
      <c r="T1" s="6" t="s">
        <v>19</v>
      </c>
      <c r="U1" s="6" t="s">
        <v>20</v>
      </c>
      <c r="V1" s="7" t="s">
        <v>21</v>
      </c>
      <c r="W1" s="8" t="s">
        <v>22</v>
      </c>
      <c r="X1" s="6" t="s">
        <v>23</v>
      </c>
    </row>
    <row r="2" spans="1:24" x14ac:dyDescent="0.25">
      <c r="A2" s="10">
        <v>42705</v>
      </c>
      <c r="B2" s="11">
        <v>1</v>
      </c>
      <c r="C2" s="11" t="s">
        <v>24</v>
      </c>
      <c r="D2" s="11"/>
      <c r="E2" s="12">
        <v>0.60416666666666663</v>
      </c>
      <c r="F2" s="12">
        <v>0.61458333333333337</v>
      </c>
      <c r="G2" s="12">
        <v>0.625</v>
      </c>
      <c r="H2" s="12">
        <v>0.77083333333333337</v>
      </c>
      <c r="I2" s="12">
        <v>0.78125</v>
      </c>
      <c r="J2" s="12">
        <v>0.8125</v>
      </c>
      <c r="K2" s="13">
        <f>Tableau44[[#This Row],[Fermeture]]-Tableau44[[#This Row],[Incision]]</f>
        <v>0.14583333333333337</v>
      </c>
      <c r="L2" s="13">
        <f>Tableau44[[#This Row],[Sortie de salle/ER]]-Tableau44[[#This Row],[Entrée de salle]]</f>
        <v>0.17708333333333337</v>
      </c>
      <c r="M2" s="11">
        <v>1</v>
      </c>
      <c r="N2" s="14"/>
      <c r="O2" s="15">
        <f>Tableau44[[#This Row],[Sortie reveil]]-Tableau44[[#This Row],[Sortie de salle/ER]]</f>
        <v>3.125E-2</v>
      </c>
      <c r="P2" s="14"/>
      <c r="Q2" s="14"/>
      <c r="R2" s="14"/>
      <c r="S2" s="14" t="s">
        <v>25</v>
      </c>
      <c r="T2" s="15" t="str">
        <f>IF(Tableau44[[#This Row],[Sortie reveil]]&gt;$L$72,Tableau44[[#This Row],[Sortie reveil]]-$L$72,"")</f>
        <v/>
      </c>
      <c r="U2" s="15" t="str">
        <f>IF(Tableau44[[#This Row],[Sortie de salle/ER]]&gt;$L$73,(Tableau44[[#This Row],[Sortie de salle/ER]]-$L$73),"")</f>
        <v/>
      </c>
      <c r="V2" s="15" t="str">
        <f>IF(AND(Tableau44[[#This Row],[Date  
JJ/MM/AAAA]]=A1,Tableau44[[#This Row],[salle]]=B1),(Tableau44[[#This Row],[Entrée de salle]]-I1),"")</f>
        <v/>
      </c>
      <c r="W2" s="16" t="str">
        <f t="shared" ref="W2:W61" si="0">IF(A2&lt;&gt;A1,(TEXT(A2,"jjjj")),"")</f>
        <v>jeudi</v>
      </c>
      <c r="X2" s="17" t="str">
        <f t="shared" ref="X2:X61" si="1">TEXT(A2,"jjjj")</f>
        <v>jeudi</v>
      </c>
    </row>
    <row r="3" spans="1:24" x14ac:dyDescent="0.25">
      <c r="A3" s="18">
        <v>42705</v>
      </c>
      <c r="B3" s="19">
        <v>3</v>
      </c>
      <c r="C3" s="19" t="s">
        <v>26</v>
      </c>
      <c r="D3" s="19"/>
      <c r="E3" s="20">
        <v>0.34722222222222227</v>
      </c>
      <c r="F3" s="20">
        <v>0.35416666666666669</v>
      </c>
      <c r="G3" s="20">
        <v>0.38541666666666669</v>
      </c>
      <c r="H3" s="20">
        <v>0.58680555555555558</v>
      </c>
      <c r="I3" s="20">
        <v>0.59375</v>
      </c>
      <c r="J3" s="20">
        <v>0.69097222222222221</v>
      </c>
      <c r="K3" s="21">
        <f>Tableau44[[#This Row],[Fermeture]]-Tableau44[[#This Row],[Incision]]</f>
        <v>0.2013888888888889</v>
      </c>
      <c r="L3" s="21">
        <f>Tableau44[[#This Row],[Sortie de salle/ER]]-Tableau44[[#This Row],[Entrée de salle]]</f>
        <v>0.24652777777777773</v>
      </c>
      <c r="M3" s="19">
        <v>1</v>
      </c>
      <c r="N3" s="14">
        <v>2</v>
      </c>
      <c r="O3" s="15">
        <f>Tableau44[[#This Row],[Sortie reveil]]-Tableau44[[#This Row],[Sortie de salle/ER]]</f>
        <v>9.722222222222221E-2</v>
      </c>
      <c r="P3" s="22">
        <v>0.4861111111111111</v>
      </c>
      <c r="Q3" s="22">
        <v>0.83333333333333337</v>
      </c>
      <c r="R3" s="22"/>
      <c r="S3" s="14" t="s">
        <v>25</v>
      </c>
      <c r="T3" s="15" t="str">
        <f>IF(Tableau44[[#This Row],[Sortie reveil]]&gt;$L$72,Tableau44[[#This Row],[Sortie reveil]]-$L$72,"")</f>
        <v/>
      </c>
      <c r="U3" s="15" t="str">
        <f>IF(Tableau44[[#This Row],[Sortie de salle/ER]]&gt;$L$73,(Tableau44[[#This Row],[Sortie de salle/ER]]-$L$73),"")</f>
        <v/>
      </c>
      <c r="V3" s="23" t="str">
        <f>IF(AND(Tableau44[[#This Row],[Date  
JJ/MM/AAAA]]=A2,Tableau44[[#This Row],[salle]]=B2),(Tableau44[[#This Row],[Entrée de salle]]-I2),"")</f>
        <v/>
      </c>
      <c r="W3" s="24" t="str">
        <f t="shared" si="0"/>
        <v/>
      </c>
      <c r="X3" s="9" t="str">
        <f t="shared" si="1"/>
        <v>jeudi</v>
      </c>
    </row>
    <row r="4" spans="1:24" x14ac:dyDescent="0.25">
      <c r="A4" s="18">
        <v>42705</v>
      </c>
      <c r="B4" s="19">
        <v>3</v>
      </c>
      <c r="C4" s="19" t="s">
        <v>27</v>
      </c>
      <c r="D4" s="19"/>
      <c r="E4" s="20">
        <v>0.78472222222222221</v>
      </c>
      <c r="F4" s="20">
        <v>0.79166666666666663</v>
      </c>
      <c r="G4" s="20">
        <v>0.79166666666666663</v>
      </c>
      <c r="H4" s="20">
        <v>0.79861111111111116</v>
      </c>
      <c r="I4" s="20">
        <v>0.79999999999999993</v>
      </c>
      <c r="J4" s="20">
        <v>0.80208333333333337</v>
      </c>
      <c r="K4" s="21">
        <f>Tableau44[[#This Row],[Fermeture]]-Tableau44[[#This Row],[Incision]]</f>
        <v>6.9444444444445308E-3</v>
      </c>
      <c r="L4" s="21">
        <f>Tableau44[[#This Row],[Sortie de salle/ER]]-Tableau44[[#This Row],[Entrée de salle]]</f>
        <v>1.5277777777777724E-2</v>
      </c>
      <c r="M4" s="19">
        <v>1</v>
      </c>
      <c r="N4" s="14"/>
      <c r="O4" s="15">
        <f>Tableau44[[#This Row],[Sortie reveil]]-Tableau44[[#This Row],[Sortie de salle/ER]]</f>
        <v>2.083333333333437E-3</v>
      </c>
      <c r="P4" s="14"/>
      <c r="Q4" s="14"/>
      <c r="R4" s="14"/>
      <c r="S4" s="14" t="s">
        <v>25</v>
      </c>
      <c r="T4" s="15" t="str">
        <f>IF(Tableau44[[#This Row],[Sortie reveil]]&gt;$L$72,Tableau44[[#This Row],[Sortie reveil]]-$L$72,"")</f>
        <v/>
      </c>
      <c r="U4" s="15" t="str">
        <f>IF(Tableau44[[#This Row],[Sortie de salle/ER]]&gt;$L$73,(Tableau44[[#This Row],[Sortie de salle/ER]]-$L$73),"")</f>
        <v/>
      </c>
      <c r="V4" s="15">
        <f>IF(AND(Tableau44[[#This Row],[Date  
JJ/MM/AAAA]]=A3,Tableau44[[#This Row],[salle]]=B3),(Tableau44[[#This Row],[Entrée de salle]]-I3),"")</f>
        <v>0.19097222222222221</v>
      </c>
      <c r="W4" s="24" t="str">
        <f t="shared" si="0"/>
        <v/>
      </c>
      <c r="X4" s="9" t="str">
        <f t="shared" si="1"/>
        <v>jeudi</v>
      </c>
    </row>
    <row r="5" spans="1:24" x14ac:dyDescent="0.25">
      <c r="A5" s="18">
        <v>42705</v>
      </c>
      <c r="B5" s="19">
        <v>3</v>
      </c>
      <c r="C5" s="19" t="s">
        <v>28</v>
      </c>
      <c r="D5" s="19"/>
      <c r="E5" s="20">
        <v>0.8125</v>
      </c>
      <c r="F5" s="20">
        <v>0.81597222222222221</v>
      </c>
      <c r="G5" s="20">
        <v>0.81944444444444453</v>
      </c>
      <c r="H5" s="20">
        <v>0.82291666666666663</v>
      </c>
      <c r="I5" s="20">
        <v>0.82986111111111116</v>
      </c>
      <c r="J5" s="20">
        <v>0.83333333333333337</v>
      </c>
      <c r="K5" s="21">
        <f>Tableau44[[#This Row],[Fermeture]]-Tableau44[[#This Row],[Incision]]</f>
        <v>3.4722222222220989E-3</v>
      </c>
      <c r="L5" s="21">
        <f>Tableau44[[#This Row],[Sortie de salle/ER]]-Tableau44[[#This Row],[Entrée de salle]]</f>
        <v>1.736111111111116E-2</v>
      </c>
      <c r="M5" s="19">
        <v>1</v>
      </c>
      <c r="N5" s="14"/>
      <c r="O5" s="15">
        <f>Tableau44[[#This Row],[Sortie reveil]]-Tableau44[[#This Row],[Sortie de salle/ER]]</f>
        <v>3.4722222222222099E-3</v>
      </c>
      <c r="P5" s="14"/>
      <c r="Q5" s="14"/>
      <c r="R5" s="14"/>
      <c r="S5" s="14" t="s">
        <v>25</v>
      </c>
      <c r="T5" s="15">
        <f>IF(Tableau44[[#This Row],[Sortie reveil]]&gt;$L$72,Tableau44[[#This Row],[Sortie reveil]]-$L$72,"")</f>
        <v>1.0416666666666741E-2</v>
      </c>
      <c r="U5" s="15">
        <f>IF(Tableau44[[#This Row],[Sortie de salle/ER]]&gt;$L$73,(Tableau44[[#This Row],[Sortie de salle/ER]]-$L$73),"")</f>
        <v>2.777777777777779E-2</v>
      </c>
      <c r="V5" s="15">
        <f>IF(AND(Tableau44[[#This Row],[Date  
JJ/MM/AAAA]]=A4,Tableau44[[#This Row],[salle]]=B4),(Tableau44[[#This Row],[Entrée de salle]]-I4),"")</f>
        <v>1.2500000000000067E-2</v>
      </c>
      <c r="W5" s="24" t="str">
        <f t="shared" si="0"/>
        <v/>
      </c>
      <c r="X5" s="9" t="str">
        <f t="shared" si="1"/>
        <v>jeudi</v>
      </c>
    </row>
    <row r="6" spans="1:24" x14ac:dyDescent="0.25">
      <c r="A6" s="10">
        <v>42709</v>
      </c>
      <c r="B6" s="11">
        <v>1</v>
      </c>
      <c r="C6" s="11" t="s">
        <v>29</v>
      </c>
      <c r="D6" s="11"/>
      <c r="E6" s="12">
        <v>0.60416666666666663</v>
      </c>
      <c r="F6" s="12">
        <v>0.61111111111111105</v>
      </c>
      <c r="G6" s="12">
        <v>0.62638888888888888</v>
      </c>
      <c r="H6" s="12">
        <v>0.69930555555555562</v>
      </c>
      <c r="I6" s="12">
        <v>0.73263888888888884</v>
      </c>
      <c r="J6" s="12">
        <v>0.76041666666666663</v>
      </c>
      <c r="K6" s="13">
        <f>Tableau44[[#This Row],[Fermeture]]-Tableau44[[#This Row],[Incision]]</f>
        <v>7.2916666666666741E-2</v>
      </c>
      <c r="L6" s="13">
        <f>Tableau44[[#This Row],[Sortie de salle/ER]]-Tableau44[[#This Row],[Entrée de salle]]</f>
        <v>0.12847222222222221</v>
      </c>
      <c r="M6" s="11">
        <v>1</v>
      </c>
      <c r="N6" s="14">
        <v>2</v>
      </c>
      <c r="O6" s="15">
        <f>Tableau44[[#This Row],[Sortie reveil]]-Tableau44[[#This Row],[Sortie de salle/ER]]</f>
        <v>2.777777777777779E-2</v>
      </c>
      <c r="P6" s="22">
        <v>0.24652777777777779</v>
      </c>
      <c r="Q6" s="22">
        <v>0.84027777777777779</v>
      </c>
      <c r="R6" s="22"/>
      <c r="S6" s="14" t="s">
        <v>30</v>
      </c>
      <c r="T6" s="15" t="str">
        <f>IF(Tableau44[[#This Row],[Sortie reveil]]&gt;$L$72,Tableau44[[#This Row],[Sortie reveil]]-$L$72,"")</f>
        <v/>
      </c>
      <c r="U6" s="15" t="str">
        <f>IF(Tableau44[[#This Row],[Sortie de salle/ER]]&gt;$L$73,(Tableau44[[#This Row],[Sortie de salle/ER]]-$L$73),"")</f>
        <v/>
      </c>
      <c r="V6" s="15" t="str">
        <f>IF(AND(Tableau44[[#This Row],[Date  
JJ/MM/AAAA]]=A5,Tableau44[[#This Row],[salle]]=B5),(Tableau44[[#This Row],[Entrée de salle]]-I5),"")</f>
        <v/>
      </c>
      <c r="W6" s="24" t="str">
        <f t="shared" si="0"/>
        <v>lundi</v>
      </c>
      <c r="X6" s="9" t="str">
        <f t="shared" si="1"/>
        <v>lundi</v>
      </c>
    </row>
    <row r="7" spans="1:24" x14ac:dyDescent="0.25">
      <c r="A7" s="10">
        <v>42709</v>
      </c>
      <c r="B7" s="11">
        <v>1</v>
      </c>
      <c r="C7" s="11" t="s">
        <v>31</v>
      </c>
      <c r="D7" s="11"/>
      <c r="E7" s="12">
        <v>0.73958333333333337</v>
      </c>
      <c r="F7" s="12">
        <v>0.74305555555555547</v>
      </c>
      <c r="G7" s="12">
        <v>0.76041666666666663</v>
      </c>
      <c r="H7" s="12">
        <v>0.80208333333333337</v>
      </c>
      <c r="I7" s="12">
        <v>0.8125</v>
      </c>
      <c r="J7" s="12">
        <v>0.84027777777777779</v>
      </c>
      <c r="K7" s="13">
        <f>Tableau44[[#This Row],[Fermeture]]-Tableau44[[#This Row],[Incision]]</f>
        <v>4.1666666666666741E-2</v>
      </c>
      <c r="L7" s="13">
        <f>Tableau44[[#This Row],[Sortie de salle/ER]]-Tableau44[[#This Row],[Entrée de salle]]</f>
        <v>7.291666666666663E-2</v>
      </c>
      <c r="M7" s="11">
        <v>1</v>
      </c>
      <c r="N7" s="14"/>
      <c r="O7" s="15">
        <f>Tableau44[[#This Row],[Sortie reveil]]-Tableau44[[#This Row],[Sortie de salle/ER]]</f>
        <v>2.777777777777779E-2</v>
      </c>
      <c r="P7" s="14"/>
      <c r="Q7" s="14"/>
      <c r="R7" s="14"/>
      <c r="S7" s="14" t="s">
        <v>30</v>
      </c>
      <c r="T7" s="15">
        <f>IF(Tableau44[[#This Row],[Sortie reveil]]&gt;$L$72,Tableau44[[#This Row],[Sortie reveil]]-$L$72,"")</f>
        <v>1.736111111111116E-2</v>
      </c>
      <c r="U7" s="15">
        <f>IF(Tableau44[[#This Row],[Sortie de salle/ER]]&gt;$L$73,(Tableau44[[#This Row],[Sortie de salle/ER]]-$L$73),"")</f>
        <v>1.041666666666663E-2</v>
      </c>
      <c r="V7" s="15">
        <f>IF(AND(Tableau44[[#This Row],[Date  
JJ/MM/AAAA]]=A6,Tableau44[[#This Row],[salle]]=B6),(Tableau44[[#This Row],[Entrée de salle]]-I6),"")</f>
        <v>6.9444444444445308E-3</v>
      </c>
      <c r="W7" s="24" t="str">
        <f t="shared" si="0"/>
        <v/>
      </c>
      <c r="X7" s="9" t="str">
        <f t="shared" si="1"/>
        <v>lundi</v>
      </c>
    </row>
    <row r="8" spans="1:24" x14ac:dyDescent="0.25">
      <c r="A8" s="18">
        <v>42709</v>
      </c>
      <c r="B8" s="19">
        <v>3</v>
      </c>
      <c r="C8" s="19" t="s">
        <v>32</v>
      </c>
      <c r="D8" s="19"/>
      <c r="E8" s="20">
        <v>0.59375</v>
      </c>
      <c r="F8" s="20">
        <v>0.60416666666666663</v>
      </c>
      <c r="G8" s="20">
        <v>0.63194444444444442</v>
      </c>
      <c r="H8" s="20">
        <v>0.77083333333333337</v>
      </c>
      <c r="I8" s="20">
        <v>0.78472222222222221</v>
      </c>
      <c r="J8" s="20">
        <v>0.83333333333333337</v>
      </c>
      <c r="K8" s="21">
        <f>Tableau44[[#This Row],[Fermeture]]-Tableau44[[#This Row],[Incision]]</f>
        <v>0.13888888888888895</v>
      </c>
      <c r="L8" s="21">
        <f>Tableau44[[#This Row],[Sortie de salle/ER]]-Tableau44[[#This Row],[Entrée de salle]]</f>
        <v>0.19097222222222221</v>
      </c>
      <c r="M8" s="19">
        <v>1</v>
      </c>
      <c r="N8" s="14"/>
      <c r="O8" s="15">
        <f>Tableau44[[#This Row],[Sortie reveil]]-Tableau44[[#This Row],[Sortie de salle/ER]]</f>
        <v>4.861111111111116E-2</v>
      </c>
      <c r="P8" s="14"/>
      <c r="Q8" s="14"/>
      <c r="R8" s="14"/>
      <c r="S8" s="14" t="s">
        <v>30</v>
      </c>
      <c r="T8" s="15">
        <f>IF(Tableau44[[#This Row],[Sortie reveil]]&gt;$L$72,Tableau44[[#This Row],[Sortie reveil]]-$L$72,"")</f>
        <v>1.0416666666666741E-2</v>
      </c>
      <c r="U8" s="15" t="str">
        <f>IF(Tableau44[[#This Row],[Sortie de salle/ER]]&gt;$L$73,(Tableau44[[#This Row],[Sortie de salle/ER]]-$L$73),"")</f>
        <v/>
      </c>
      <c r="V8" s="15" t="str">
        <f>IF(AND(Tableau44[[#This Row],[Date  
JJ/MM/AAAA]]=A7,Tableau44[[#This Row],[salle]]=B7),(Tableau44[[#This Row],[Entrée de salle]]-I7),"")</f>
        <v/>
      </c>
      <c r="W8" s="24" t="str">
        <f t="shared" si="0"/>
        <v/>
      </c>
      <c r="X8" s="9" t="str">
        <f t="shared" si="1"/>
        <v>lundi</v>
      </c>
    </row>
    <row r="9" spans="1:24" x14ac:dyDescent="0.25">
      <c r="A9" s="10">
        <v>42710</v>
      </c>
      <c r="B9" s="11">
        <v>1</v>
      </c>
      <c r="C9" s="11" t="s">
        <v>33</v>
      </c>
      <c r="D9" s="11"/>
      <c r="E9" s="12">
        <v>0.34722222222222227</v>
      </c>
      <c r="F9" s="12">
        <v>0.35416666666666669</v>
      </c>
      <c r="G9" s="12">
        <v>0.36805555555555558</v>
      </c>
      <c r="H9" s="12">
        <v>0.4375</v>
      </c>
      <c r="I9" s="12">
        <v>0.44097222222222227</v>
      </c>
      <c r="J9" s="12">
        <v>0.49652777777777773</v>
      </c>
      <c r="K9" s="13">
        <f>Tableau44[[#This Row],[Fermeture]]-Tableau44[[#This Row],[Incision]]</f>
        <v>6.944444444444442E-2</v>
      </c>
      <c r="L9" s="13">
        <f>Tableau44[[#This Row],[Sortie de salle/ER]]-Tableau44[[#This Row],[Entrée de salle]]</f>
        <v>9.375E-2</v>
      </c>
      <c r="M9" s="11">
        <v>1</v>
      </c>
      <c r="N9" s="14">
        <v>3</v>
      </c>
      <c r="O9" s="15">
        <f>Tableau44[[#This Row],[Sortie reveil]]-Tableau44[[#This Row],[Sortie de salle/ER]]</f>
        <v>5.5555555555555469E-2</v>
      </c>
      <c r="P9" s="22">
        <v>0.35069444444444442</v>
      </c>
      <c r="Q9" s="22">
        <v>0.69791666666666663</v>
      </c>
      <c r="R9" s="22"/>
      <c r="S9" s="14" t="s">
        <v>34</v>
      </c>
      <c r="T9" s="15" t="str">
        <f>IF(Tableau44[[#This Row],[Sortie reveil]]&gt;$L$72,Tableau44[[#This Row],[Sortie reveil]]-$L$72,"")</f>
        <v/>
      </c>
      <c r="U9" s="15" t="str">
        <f>IF(Tableau44[[#This Row],[Sortie de salle/ER]]&gt;$L$73,(Tableau44[[#This Row],[Sortie de salle/ER]]-$L$73),"")</f>
        <v/>
      </c>
      <c r="V9" s="15" t="str">
        <f>IF(AND(Tableau44[[#This Row],[Date  
JJ/MM/AAAA]]=A8,Tableau44[[#This Row],[salle]]=B8),(Tableau44[[#This Row],[Entrée de salle]]-I8),"")</f>
        <v/>
      </c>
      <c r="W9" s="24" t="str">
        <f t="shared" si="0"/>
        <v>mardi</v>
      </c>
      <c r="X9" s="9" t="str">
        <f t="shared" si="1"/>
        <v>mardi</v>
      </c>
    </row>
    <row r="10" spans="1:24" x14ac:dyDescent="0.25">
      <c r="A10" s="10">
        <v>42710</v>
      </c>
      <c r="B10" s="11">
        <v>1</v>
      </c>
      <c r="C10" s="11" t="s">
        <v>35</v>
      </c>
      <c r="D10" s="11"/>
      <c r="E10" s="12">
        <v>0.46180555555555558</v>
      </c>
      <c r="F10" s="12">
        <v>0.47569444444444442</v>
      </c>
      <c r="G10" s="12">
        <v>0.4861111111111111</v>
      </c>
      <c r="H10" s="12">
        <v>0.55555555555555558</v>
      </c>
      <c r="I10" s="12">
        <v>0.56944444444444442</v>
      </c>
      <c r="J10" s="12">
        <v>0.625</v>
      </c>
      <c r="K10" s="13">
        <f>Tableau44[[#This Row],[Fermeture]]-Tableau44[[#This Row],[Incision]]</f>
        <v>6.9444444444444475E-2</v>
      </c>
      <c r="L10" s="13">
        <f>Tableau44[[#This Row],[Sortie de salle/ER]]-Tableau44[[#This Row],[Entrée de salle]]</f>
        <v>0.10763888888888884</v>
      </c>
      <c r="M10" s="11">
        <v>1</v>
      </c>
      <c r="N10" s="14"/>
      <c r="O10" s="15">
        <f>Tableau44[[#This Row],[Sortie reveil]]-Tableau44[[#This Row],[Sortie de salle/ER]]</f>
        <v>5.555555555555558E-2</v>
      </c>
      <c r="P10" s="14"/>
      <c r="Q10" s="14"/>
      <c r="R10" s="14"/>
      <c r="S10" s="14" t="s">
        <v>34</v>
      </c>
      <c r="T10" s="15" t="str">
        <f>IF(Tableau44[[#This Row],[Sortie reveil]]&gt;$L$72,Tableau44[[#This Row],[Sortie reveil]]-$L$72,"")</f>
        <v/>
      </c>
      <c r="U10" s="15" t="str">
        <f>IF(Tableau44[[#This Row],[Sortie de salle/ER]]&gt;$L$73,(Tableau44[[#This Row],[Sortie de salle/ER]]-$L$73),"")</f>
        <v/>
      </c>
      <c r="V10" s="15">
        <f>IF(AND(Tableau44[[#This Row],[Date  
JJ/MM/AAAA]]=A9,Tableau44[[#This Row],[salle]]=B9),(Tableau44[[#This Row],[Entrée de salle]]-I9),"")</f>
        <v>2.0833333333333315E-2</v>
      </c>
      <c r="W10" s="24" t="str">
        <f t="shared" si="0"/>
        <v/>
      </c>
      <c r="X10" s="9" t="str">
        <f t="shared" si="1"/>
        <v>mardi</v>
      </c>
    </row>
    <row r="11" spans="1:24" x14ac:dyDescent="0.25">
      <c r="A11" s="25">
        <v>42710</v>
      </c>
      <c r="B11" s="26">
        <v>2</v>
      </c>
      <c r="C11" s="26" t="s">
        <v>36</v>
      </c>
      <c r="D11" s="26"/>
      <c r="E11" s="27">
        <v>0.38194444444444442</v>
      </c>
      <c r="F11" s="27">
        <v>0.3888888888888889</v>
      </c>
      <c r="G11" s="27">
        <v>0.40972222222222227</v>
      </c>
      <c r="H11" s="27">
        <v>0.4513888888888889</v>
      </c>
      <c r="I11" s="27">
        <v>0.47222222222222227</v>
      </c>
      <c r="J11" s="27">
        <v>0.53125</v>
      </c>
      <c r="K11" s="28">
        <f>Tableau44[[#This Row],[Fermeture]]-Tableau44[[#This Row],[Incision]]</f>
        <v>4.166666666666663E-2</v>
      </c>
      <c r="L11" s="28">
        <f>Tableau44[[#This Row],[Sortie de salle/ER]]-Tableau44[[#This Row],[Entrée de salle]]</f>
        <v>9.0277777777777846E-2</v>
      </c>
      <c r="M11" s="26">
        <v>1</v>
      </c>
      <c r="N11" s="14"/>
      <c r="O11" s="15">
        <f>Tableau44[[#This Row],[Sortie reveil]]-Tableau44[[#This Row],[Sortie de salle/ER]]</f>
        <v>5.9027777777777735E-2</v>
      </c>
      <c r="P11" s="14"/>
      <c r="Q11" s="14"/>
      <c r="R11" s="14"/>
      <c r="S11" s="14" t="s">
        <v>34</v>
      </c>
      <c r="T11" s="15" t="str">
        <f>IF(Tableau44[[#This Row],[Sortie reveil]]&gt;$L$72,Tableau44[[#This Row],[Sortie reveil]]-$L$72,"")</f>
        <v/>
      </c>
      <c r="U11" s="15" t="str">
        <f>IF(Tableau44[[#This Row],[Sortie de salle/ER]]&gt;$L$73,(Tableau44[[#This Row],[Sortie de salle/ER]]-$L$73),"")</f>
        <v/>
      </c>
      <c r="V11" s="15" t="str">
        <f>IF(AND(Tableau44[[#This Row],[Date  
JJ/MM/AAAA]]=A10,Tableau44[[#This Row],[salle]]=B10),(Tableau44[[#This Row],[Entrée de salle]]-I10),"")</f>
        <v/>
      </c>
      <c r="W11" s="24" t="str">
        <f t="shared" si="0"/>
        <v/>
      </c>
      <c r="X11" s="9" t="str">
        <f t="shared" si="1"/>
        <v>mardi</v>
      </c>
    </row>
    <row r="12" spans="1:24" x14ac:dyDescent="0.25">
      <c r="A12" s="18">
        <v>42710</v>
      </c>
      <c r="B12" s="19">
        <v>3</v>
      </c>
      <c r="C12" s="19" t="s">
        <v>37</v>
      </c>
      <c r="D12" s="19"/>
      <c r="E12" s="20">
        <v>0.35416666666666669</v>
      </c>
      <c r="F12" s="20">
        <v>0.375</v>
      </c>
      <c r="G12" s="20">
        <v>0.38194444444444442</v>
      </c>
      <c r="H12" s="20">
        <v>0.46875</v>
      </c>
      <c r="I12" s="20">
        <v>0.47569444444444442</v>
      </c>
      <c r="J12" s="20">
        <v>0.5625</v>
      </c>
      <c r="K12" s="21">
        <f>Tableau44[[#This Row],[Fermeture]]-Tableau44[[#This Row],[Incision]]</f>
        <v>8.680555555555558E-2</v>
      </c>
      <c r="L12" s="21">
        <f>Tableau44[[#This Row],[Sortie de salle/ER]]-Tableau44[[#This Row],[Entrée de salle]]</f>
        <v>0.12152777777777773</v>
      </c>
      <c r="M12" s="19">
        <v>1</v>
      </c>
      <c r="N12" s="14"/>
      <c r="O12" s="15">
        <f>Tableau44[[#This Row],[Sortie reveil]]-Tableau44[[#This Row],[Sortie de salle/ER]]</f>
        <v>8.680555555555558E-2</v>
      </c>
      <c r="P12" s="14"/>
      <c r="Q12" s="14"/>
      <c r="R12" s="14"/>
      <c r="S12" s="14" t="s">
        <v>34</v>
      </c>
      <c r="T12" s="15" t="str">
        <f>IF(Tableau44[[#This Row],[Sortie reveil]]&gt;$L$72,Tableau44[[#This Row],[Sortie reveil]]-$L$72,"")</f>
        <v/>
      </c>
      <c r="U12" s="15" t="str">
        <f>IF(Tableau44[[#This Row],[Sortie de salle/ER]]&gt;$L$73,(Tableau44[[#This Row],[Sortie de salle/ER]]-$L$73),"")</f>
        <v/>
      </c>
      <c r="V12" s="15" t="str">
        <f>IF(AND(Tableau44[[#This Row],[Date  
JJ/MM/AAAA]]=A11,Tableau44[[#This Row],[salle]]=B11),(Tableau44[[#This Row],[Entrée de salle]]-I11),"")</f>
        <v/>
      </c>
      <c r="W12" s="24" t="str">
        <f t="shared" si="0"/>
        <v/>
      </c>
      <c r="X12" s="9" t="str">
        <f t="shared" si="1"/>
        <v>mardi</v>
      </c>
    </row>
    <row r="13" spans="1:24" x14ac:dyDescent="0.25">
      <c r="A13" s="18">
        <v>42710</v>
      </c>
      <c r="B13" s="19">
        <v>3</v>
      </c>
      <c r="C13" s="19" t="s">
        <v>38</v>
      </c>
      <c r="D13" s="19"/>
      <c r="E13" s="20">
        <v>0.5625</v>
      </c>
      <c r="F13" s="20">
        <v>0.58333333333333337</v>
      </c>
      <c r="G13" s="20">
        <v>0.59722222222222221</v>
      </c>
      <c r="H13" s="20">
        <v>0.64583333333333337</v>
      </c>
      <c r="I13" s="20">
        <v>0.65972222222222221</v>
      </c>
      <c r="J13" s="20">
        <v>0.69791666666666663</v>
      </c>
      <c r="K13" s="21">
        <f>Tableau44[[#This Row],[Fermeture]]-Tableau44[[#This Row],[Incision]]</f>
        <v>4.861111111111116E-2</v>
      </c>
      <c r="L13" s="21">
        <f>Tableau44[[#This Row],[Sortie de salle/ER]]-Tableau44[[#This Row],[Entrée de salle]]</f>
        <v>9.722222222222221E-2</v>
      </c>
      <c r="M13" s="19">
        <v>1</v>
      </c>
      <c r="N13" s="14"/>
      <c r="O13" s="15">
        <f>Tableau44[[#This Row],[Sortie reveil]]-Tableau44[[#This Row],[Sortie de salle/ER]]</f>
        <v>3.819444444444442E-2</v>
      </c>
      <c r="P13" s="14"/>
      <c r="Q13" s="14"/>
      <c r="R13" s="14"/>
      <c r="S13" s="14" t="s">
        <v>34</v>
      </c>
      <c r="T13" s="15" t="str">
        <f>IF(Tableau44[[#This Row],[Sortie reveil]]&gt;$L$72,Tableau44[[#This Row],[Sortie reveil]]-$L$72,"")</f>
        <v/>
      </c>
      <c r="U13" s="15" t="str">
        <f>IF(Tableau44[[#This Row],[Sortie de salle/ER]]&gt;$L$73,(Tableau44[[#This Row],[Sortie de salle/ER]]-$L$73),"")</f>
        <v/>
      </c>
      <c r="V13" s="15">
        <f>IF(AND(Tableau44[[#This Row],[Date  
JJ/MM/AAAA]]=A12,Tableau44[[#This Row],[salle]]=B12),(Tableau44[[#This Row],[Entrée de salle]]-I12),"")</f>
        <v>8.680555555555558E-2</v>
      </c>
      <c r="W13" s="24" t="str">
        <f t="shared" si="0"/>
        <v/>
      </c>
      <c r="X13" s="9" t="str">
        <f t="shared" si="1"/>
        <v>mardi</v>
      </c>
    </row>
    <row r="14" spans="1:24" x14ac:dyDescent="0.25">
      <c r="A14" s="10">
        <v>42711</v>
      </c>
      <c r="B14" s="11">
        <v>1</v>
      </c>
      <c r="C14" s="11" t="s">
        <v>39</v>
      </c>
      <c r="D14" s="11"/>
      <c r="E14" s="12">
        <v>0.34722222222222227</v>
      </c>
      <c r="F14" s="12">
        <v>0.3576388888888889</v>
      </c>
      <c r="G14" s="12">
        <v>0.37847222222222227</v>
      </c>
      <c r="H14" s="12">
        <v>0.53819444444444442</v>
      </c>
      <c r="I14" s="12">
        <v>0.54513888888888895</v>
      </c>
      <c r="J14" s="12">
        <v>0.60416666666666663</v>
      </c>
      <c r="K14" s="13">
        <f>Tableau44[[#This Row],[Fermeture]]-Tableau44[[#This Row],[Incision]]</f>
        <v>0.15972222222222215</v>
      </c>
      <c r="L14" s="13">
        <f>Tableau44[[#This Row],[Sortie de salle/ER]]-Tableau44[[#This Row],[Entrée de salle]]</f>
        <v>0.19791666666666669</v>
      </c>
      <c r="M14" s="11">
        <v>1</v>
      </c>
      <c r="N14" s="14"/>
      <c r="O14" s="15">
        <f>Tableau44[[#This Row],[Sortie reveil]]-Tableau44[[#This Row],[Sortie de salle/ER]]</f>
        <v>5.9027777777777679E-2</v>
      </c>
      <c r="P14" s="14"/>
      <c r="Q14" s="14"/>
      <c r="R14" s="14"/>
      <c r="S14" s="14" t="s">
        <v>40</v>
      </c>
      <c r="T14" s="15" t="str">
        <f>IF(Tableau44[[#This Row],[Sortie reveil]]&gt;$L$72,Tableau44[[#This Row],[Sortie reveil]]-$L$72,"")</f>
        <v/>
      </c>
      <c r="U14" s="15" t="str">
        <f>IF(Tableau44[[#This Row],[Sortie de salle/ER]]&gt;$L$73,(Tableau44[[#This Row],[Sortie de salle/ER]]-$L$73),"")</f>
        <v/>
      </c>
      <c r="V14" s="15" t="str">
        <f>IF(AND(Tableau44[[#This Row],[Date  
JJ/MM/AAAA]]=A13,Tableau44[[#This Row],[salle]]=B13),(Tableau44[[#This Row],[Entrée de salle]]-I13),"")</f>
        <v/>
      </c>
      <c r="W14" s="24" t="str">
        <f t="shared" si="0"/>
        <v>mercredi</v>
      </c>
      <c r="X14" s="9" t="str">
        <f t="shared" si="1"/>
        <v>mercredi</v>
      </c>
    </row>
    <row r="15" spans="1:24" x14ac:dyDescent="0.25">
      <c r="A15" s="18">
        <v>42711</v>
      </c>
      <c r="B15" s="19">
        <v>3</v>
      </c>
      <c r="C15" s="19" t="s">
        <v>35</v>
      </c>
      <c r="D15" s="19"/>
      <c r="E15" s="20">
        <v>0.38194444444444442</v>
      </c>
      <c r="F15" s="20">
        <v>0.39583333333333331</v>
      </c>
      <c r="G15" s="20">
        <v>0.40972222222222227</v>
      </c>
      <c r="H15" s="20">
        <v>0.46875</v>
      </c>
      <c r="I15" s="20">
        <v>0.47222222222222227</v>
      </c>
      <c r="J15" s="20">
        <v>0.48958333333333331</v>
      </c>
      <c r="K15" s="21">
        <f>Tableau44[[#This Row],[Fermeture]]-Tableau44[[#This Row],[Incision]]</f>
        <v>5.9027777777777735E-2</v>
      </c>
      <c r="L15" s="21">
        <f>Tableau44[[#This Row],[Sortie de salle/ER]]-Tableau44[[#This Row],[Entrée de salle]]</f>
        <v>9.0277777777777846E-2</v>
      </c>
      <c r="M15" s="19">
        <v>1</v>
      </c>
      <c r="N15" s="14">
        <v>2</v>
      </c>
      <c r="O15" s="15">
        <f>Tableau44[[#This Row],[Sortie reveil]]-Tableau44[[#This Row],[Sortie de salle/ER]]</f>
        <v>1.7361111111111049E-2</v>
      </c>
      <c r="P15" s="22">
        <v>0.25694444444444448</v>
      </c>
      <c r="Q15" s="22">
        <v>0.60416666666666663</v>
      </c>
      <c r="R15" s="22"/>
      <c r="S15" s="14" t="s">
        <v>40</v>
      </c>
      <c r="T15" s="15" t="str">
        <f>IF(Tableau44[[#This Row],[Sortie reveil]]&gt;$L$72,Tableau44[[#This Row],[Sortie reveil]]-$L$72,"")</f>
        <v/>
      </c>
      <c r="U15" s="15" t="str">
        <f>IF(Tableau44[[#This Row],[Sortie de salle/ER]]&gt;$L$73,(Tableau44[[#This Row],[Sortie de salle/ER]]-$L$73),"")</f>
        <v/>
      </c>
      <c r="V15" s="15" t="str">
        <f>IF(AND(Tableau44[[#This Row],[Date  
JJ/MM/AAAA]]=A14,Tableau44[[#This Row],[salle]]=B14),(Tableau44[[#This Row],[Entrée de salle]]-I14),"")</f>
        <v/>
      </c>
      <c r="W15" s="24" t="str">
        <f t="shared" si="0"/>
        <v/>
      </c>
      <c r="X15" s="9" t="str">
        <f t="shared" si="1"/>
        <v>mercredi</v>
      </c>
    </row>
    <row r="16" spans="1:24" x14ac:dyDescent="0.25">
      <c r="A16" s="10">
        <v>42712</v>
      </c>
      <c r="B16" s="11">
        <v>1</v>
      </c>
      <c r="C16" s="11" t="s">
        <v>38</v>
      </c>
      <c r="D16" s="11"/>
      <c r="E16" s="12">
        <v>0.375</v>
      </c>
      <c r="F16" s="12">
        <v>0.39583333333333331</v>
      </c>
      <c r="G16" s="12">
        <v>0.41319444444444442</v>
      </c>
      <c r="H16" s="12">
        <v>0.48958333333333331</v>
      </c>
      <c r="I16" s="12">
        <v>0.5</v>
      </c>
      <c r="J16" s="12">
        <v>0.52083333333333337</v>
      </c>
      <c r="K16" s="13">
        <f>Tableau44[[#This Row],[Fermeture]]-Tableau44[[#This Row],[Incision]]</f>
        <v>7.6388888888888895E-2</v>
      </c>
      <c r="L16" s="13">
        <f>Tableau44[[#This Row],[Sortie de salle/ER]]-Tableau44[[#This Row],[Entrée de salle]]</f>
        <v>0.125</v>
      </c>
      <c r="M16" s="11">
        <v>1</v>
      </c>
      <c r="N16" s="14"/>
      <c r="O16" s="15">
        <f>Tableau44[[#This Row],[Sortie reveil]]-Tableau44[[#This Row],[Sortie de salle/ER]]</f>
        <v>2.083333333333337E-2</v>
      </c>
      <c r="P16" s="14"/>
      <c r="Q16" s="14"/>
      <c r="R16" s="14"/>
      <c r="S16" s="14" t="s">
        <v>25</v>
      </c>
      <c r="T16" s="15" t="str">
        <f>IF(Tableau44[[#This Row],[Sortie reveil]]&gt;$L$72,Tableau44[[#This Row],[Sortie reveil]]-$L$72,"")</f>
        <v/>
      </c>
      <c r="U16" s="15" t="str">
        <f>IF(Tableau44[[#This Row],[Sortie de salle/ER]]&gt;$L$73,(Tableau44[[#This Row],[Sortie de salle/ER]]-$L$73),"")</f>
        <v/>
      </c>
      <c r="V16" s="15" t="str">
        <f>IF(AND(Tableau44[[#This Row],[Date  
JJ/MM/AAAA]]=A15,Tableau44[[#This Row],[salle]]=B15),(Tableau44[[#This Row],[Entrée de salle]]-I15),"")</f>
        <v/>
      </c>
      <c r="W16" s="24" t="str">
        <f t="shared" si="0"/>
        <v>jeudi</v>
      </c>
      <c r="X16" s="9" t="str">
        <f t="shared" si="1"/>
        <v>jeudi</v>
      </c>
    </row>
    <row r="17" spans="1:24" x14ac:dyDescent="0.25">
      <c r="A17" s="25">
        <v>42712</v>
      </c>
      <c r="B17" s="26">
        <v>2</v>
      </c>
      <c r="C17" s="26" t="s">
        <v>41</v>
      </c>
      <c r="D17" s="26"/>
      <c r="E17" s="27">
        <v>0.34375</v>
      </c>
      <c r="F17" s="27">
        <v>0.35416666666666669</v>
      </c>
      <c r="G17" s="27">
        <v>0.36805555555555558</v>
      </c>
      <c r="H17" s="27">
        <v>0.38194444444444442</v>
      </c>
      <c r="I17" s="27">
        <v>0.3923611111111111</v>
      </c>
      <c r="J17" s="27">
        <v>0.4375</v>
      </c>
      <c r="K17" s="28">
        <f>Tableau44[[#This Row],[Fermeture]]-Tableau44[[#This Row],[Incision]]</f>
        <v>1.388888888888884E-2</v>
      </c>
      <c r="L17" s="28">
        <f>Tableau44[[#This Row],[Sortie de salle/ER]]-Tableau44[[#This Row],[Entrée de salle]]</f>
        <v>4.8611111111111105E-2</v>
      </c>
      <c r="M17" s="26">
        <v>1</v>
      </c>
      <c r="N17" s="14">
        <v>3</v>
      </c>
      <c r="O17" s="15">
        <f>Tableau44[[#This Row],[Sortie reveil]]-Tableau44[[#This Row],[Sortie de salle/ER]]</f>
        <v>4.5138888888888895E-2</v>
      </c>
      <c r="P17" s="22">
        <v>0.22916666666666666</v>
      </c>
      <c r="Q17" s="22">
        <v>0.57291666666666663</v>
      </c>
      <c r="R17" s="22"/>
      <c r="S17" s="14" t="s">
        <v>25</v>
      </c>
      <c r="T17" s="15" t="str">
        <f>IF(Tableau44[[#This Row],[Sortie reveil]]&gt;$L$72,Tableau44[[#This Row],[Sortie reveil]]-$L$72,"")</f>
        <v/>
      </c>
      <c r="U17" s="15" t="str">
        <f>IF(Tableau44[[#This Row],[Sortie de salle/ER]]&gt;$L$73,(Tableau44[[#This Row],[Sortie de salle/ER]]-$L$73),"")</f>
        <v/>
      </c>
      <c r="V17" s="15" t="str">
        <f>IF(AND(Tableau44[[#This Row],[Date  
JJ/MM/AAAA]]=A16,Tableau44[[#This Row],[salle]]=B16),(Tableau44[[#This Row],[Entrée de salle]]-I16),"")</f>
        <v/>
      </c>
      <c r="W17" s="24" t="str">
        <f t="shared" si="0"/>
        <v/>
      </c>
      <c r="X17" s="9" t="str">
        <f t="shared" si="1"/>
        <v>jeudi</v>
      </c>
    </row>
    <row r="18" spans="1:24" x14ac:dyDescent="0.25">
      <c r="A18" s="25">
        <v>42712</v>
      </c>
      <c r="B18" s="26">
        <v>2</v>
      </c>
      <c r="C18" s="26" t="s">
        <v>42</v>
      </c>
      <c r="D18" s="26"/>
      <c r="E18" s="27">
        <v>0.51041666666666663</v>
      </c>
      <c r="F18" s="27">
        <v>0.52083333333333337</v>
      </c>
      <c r="G18" s="27">
        <v>0.52083333333333337</v>
      </c>
      <c r="H18" s="27">
        <v>0.54166666666666663</v>
      </c>
      <c r="I18" s="27">
        <v>0.54513888888888895</v>
      </c>
      <c r="J18" s="27">
        <v>0.54861111111111105</v>
      </c>
      <c r="K18" s="28">
        <f>Tableau44[[#This Row],[Fermeture]]-Tableau44[[#This Row],[Incision]]</f>
        <v>2.0833333333333259E-2</v>
      </c>
      <c r="L18" s="28">
        <f>Tableau44[[#This Row],[Sortie de salle/ER]]-Tableau44[[#This Row],[Entrée de salle]]</f>
        <v>3.4722222222222321E-2</v>
      </c>
      <c r="M18" s="26">
        <v>1</v>
      </c>
      <c r="N18" s="14"/>
      <c r="O18" s="15">
        <f>Tableau44[[#This Row],[Sortie reveil]]-Tableau44[[#This Row],[Sortie de salle/ER]]</f>
        <v>3.4722222222220989E-3</v>
      </c>
      <c r="P18" s="14"/>
      <c r="Q18" s="14"/>
      <c r="R18" s="14"/>
      <c r="S18" s="14" t="s">
        <v>25</v>
      </c>
      <c r="T18" s="15" t="str">
        <f>IF(Tableau44[[#This Row],[Sortie reveil]]&gt;$L$72,Tableau44[[#This Row],[Sortie reveil]]-$L$72,"")</f>
        <v/>
      </c>
      <c r="U18" s="15" t="str">
        <f>IF(Tableau44[[#This Row],[Sortie de salle/ER]]&gt;$L$73,(Tableau44[[#This Row],[Sortie de salle/ER]]-$L$73),"")</f>
        <v/>
      </c>
      <c r="V18" s="15">
        <f>IF(AND(Tableau44[[#This Row],[Date  
JJ/MM/AAAA]]=A17,Tableau44[[#This Row],[salle]]=B17),(Tableau44[[#This Row],[Entrée de salle]]-I17),"")</f>
        <v>0.11805555555555552</v>
      </c>
      <c r="W18" s="24" t="str">
        <f t="shared" si="0"/>
        <v/>
      </c>
      <c r="X18" s="9" t="str">
        <f t="shared" si="1"/>
        <v>jeudi</v>
      </c>
    </row>
    <row r="19" spans="1:24" x14ac:dyDescent="0.25">
      <c r="A19" s="18">
        <v>42712</v>
      </c>
      <c r="B19" s="19">
        <v>3</v>
      </c>
      <c r="C19" s="19" t="s">
        <v>43</v>
      </c>
      <c r="D19" s="19"/>
      <c r="E19" s="20">
        <v>0.37152777777777773</v>
      </c>
      <c r="F19" s="20">
        <v>0.38194444444444442</v>
      </c>
      <c r="G19" s="20">
        <v>0.3923611111111111</v>
      </c>
      <c r="H19" s="20">
        <v>0.5</v>
      </c>
      <c r="I19" s="20">
        <v>0.51736111111111105</v>
      </c>
      <c r="J19" s="20">
        <v>0.57291666666666663</v>
      </c>
      <c r="K19" s="21">
        <f>Tableau44[[#This Row],[Fermeture]]-Tableau44[[#This Row],[Incision]]</f>
        <v>0.1076388888888889</v>
      </c>
      <c r="L19" s="21">
        <f>Tableau44[[#This Row],[Sortie de salle/ER]]-Tableau44[[#This Row],[Entrée de salle]]</f>
        <v>0.14583333333333331</v>
      </c>
      <c r="M19" s="19">
        <v>1</v>
      </c>
      <c r="N19" s="14"/>
      <c r="O19" s="15">
        <f>Tableau44[[#This Row],[Sortie reveil]]-Tableau44[[#This Row],[Sortie de salle/ER]]</f>
        <v>5.555555555555558E-2</v>
      </c>
      <c r="P19" s="14"/>
      <c r="Q19" s="14"/>
      <c r="R19" s="14"/>
      <c r="S19" s="14" t="s">
        <v>25</v>
      </c>
      <c r="T19" s="15" t="str">
        <f>IF(Tableau44[[#This Row],[Sortie reveil]]&gt;$L$72,Tableau44[[#This Row],[Sortie reveil]]-$L$72,"")</f>
        <v/>
      </c>
      <c r="U19" s="15" t="str">
        <f>IF(Tableau44[[#This Row],[Sortie de salle/ER]]&gt;$L$73,(Tableau44[[#This Row],[Sortie de salle/ER]]-$L$73),"")</f>
        <v/>
      </c>
      <c r="V19" s="15" t="str">
        <f>IF(AND(Tableau44[[#This Row],[Date  
JJ/MM/AAAA]]=A18,Tableau44[[#This Row],[salle]]=B18),(Tableau44[[#This Row],[Entrée de salle]]-I18),"")</f>
        <v/>
      </c>
      <c r="W19" s="24" t="str">
        <f t="shared" si="0"/>
        <v/>
      </c>
      <c r="X19" s="9" t="str">
        <f t="shared" si="1"/>
        <v>jeudi</v>
      </c>
    </row>
    <row r="20" spans="1:24" x14ac:dyDescent="0.25">
      <c r="A20" s="10">
        <v>42716</v>
      </c>
      <c r="B20" s="11">
        <v>1</v>
      </c>
      <c r="C20" s="11" t="s">
        <v>44</v>
      </c>
      <c r="D20" s="11"/>
      <c r="E20" s="12">
        <v>0.59375</v>
      </c>
      <c r="F20" s="12">
        <v>0.60069444444444442</v>
      </c>
      <c r="G20" s="12">
        <v>0.63541666666666663</v>
      </c>
      <c r="H20" s="12">
        <v>0.77430555555555547</v>
      </c>
      <c r="I20" s="12">
        <v>0.81597222222222221</v>
      </c>
      <c r="J20" s="12">
        <v>0.84722222222222221</v>
      </c>
      <c r="K20" s="13">
        <f>Tableau44[[#This Row],[Fermeture]]-Tableau44[[#This Row],[Incision]]</f>
        <v>0.13888888888888884</v>
      </c>
      <c r="L20" s="13">
        <f>Tableau44[[#This Row],[Sortie de salle/ER]]-Tableau44[[#This Row],[Entrée de salle]]</f>
        <v>0.22222222222222221</v>
      </c>
      <c r="M20" s="11">
        <v>1</v>
      </c>
      <c r="N20" s="14"/>
      <c r="O20" s="15">
        <f>Tableau44[[#This Row],[Sortie reveil]]-Tableau44[[#This Row],[Sortie de salle/ER]]</f>
        <v>3.125E-2</v>
      </c>
      <c r="P20" s="14"/>
      <c r="Q20" s="14"/>
      <c r="R20" s="14"/>
      <c r="S20" s="14" t="s">
        <v>30</v>
      </c>
      <c r="T20" s="15">
        <f>IF(Tableau44[[#This Row],[Sortie reveil]]&gt;$L$72,Tableau44[[#This Row],[Sortie reveil]]-$L$72,"")</f>
        <v>2.430555555555558E-2</v>
      </c>
      <c r="U20" s="15">
        <f>IF(Tableau44[[#This Row],[Sortie de salle/ER]]&gt;$L$73,(Tableau44[[#This Row],[Sortie de salle/ER]]-$L$73),"")</f>
        <v>1.388888888888884E-2</v>
      </c>
      <c r="V20" s="15" t="str">
        <f>IF(AND(Tableau44[[#This Row],[Date  
JJ/MM/AAAA]]=A19,Tableau44[[#This Row],[salle]]=B19),(Tableau44[[#This Row],[Entrée de salle]]-I19),"")</f>
        <v/>
      </c>
      <c r="W20" s="24" t="str">
        <f t="shared" si="0"/>
        <v>lundi</v>
      </c>
      <c r="X20" s="9" t="str">
        <f t="shared" si="1"/>
        <v>lundi</v>
      </c>
    </row>
    <row r="21" spans="1:24" x14ac:dyDescent="0.25">
      <c r="A21" s="25">
        <v>42716</v>
      </c>
      <c r="B21" s="26">
        <v>2</v>
      </c>
      <c r="C21" s="26" t="s">
        <v>36</v>
      </c>
      <c r="D21" s="26"/>
      <c r="E21" s="27">
        <v>0.3611111111111111</v>
      </c>
      <c r="F21" s="27">
        <v>0.375</v>
      </c>
      <c r="G21" s="27">
        <v>0.38611111111111113</v>
      </c>
      <c r="H21" s="27">
        <v>0.48333333333333334</v>
      </c>
      <c r="I21" s="27">
        <v>0.48958333333333331</v>
      </c>
      <c r="J21" s="27">
        <v>0.52083333333333337</v>
      </c>
      <c r="K21" s="28">
        <f>Tableau44[[#This Row],[Fermeture]]-Tableau44[[#This Row],[Incision]]</f>
        <v>9.722222222222221E-2</v>
      </c>
      <c r="L21" s="28">
        <f>Tableau44[[#This Row],[Sortie de salle/ER]]-Tableau44[[#This Row],[Entrée de salle]]</f>
        <v>0.12847222222222221</v>
      </c>
      <c r="M21" s="26">
        <v>1</v>
      </c>
      <c r="N21" s="14">
        <v>3</v>
      </c>
      <c r="O21" s="15">
        <f>Tableau44[[#This Row],[Sortie reveil]]-Tableau44[[#This Row],[Sortie de salle/ER]]</f>
        <v>3.1250000000000056E-2</v>
      </c>
      <c r="P21" s="22">
        <v>0.50694444444444442</v>
      </c>
      <c r="Q21" s="22">
        <v>0.86805555555555547</v>
      </c>
      <c r="R21" s="22"/>
      <c r="S21" s="14" t="s">
        <v>30</v>
      </c>
      <c r="T21" s="15" t="str">
        <f>IF(Tableau44[[#This Row],[Sortie reveil]]&gt;$L$72,Tableau44[[#This Row],[Sortie reveil]]-$L$72,"")</f>
        <v/>
      </c>
      <c r="U21" s="15" t="str">
        <f>IF(Tableau44[[#This Row],[Sortie de salle/ER]]&gt;$L$73,(Tableau44[[#This Row],[Sortie de salle/ER]]-$L$73),"")</f>
        <v/>
      </c>
      <c r="V21" s="15" t="str">
        <f>IF(AND(Tableau44[[#This Row],[Date  
JJ/MM/AAAA]]=A20,Tableau44[[#This Row],[salle]]=B20),(Tableau44[[#This Row],[Entrée de salle]]-I20),"")</f>
        <v/>
      </c>
      <c r="W21" s="24" t="str">
        <f t="shared" si="0"/>
        <v/>
      </c>
      <c r="X21" s="9" t="str">
        <f t="shared" si="1"/>
        <v>lundi</v>
      </c>
    </row>
    <row r="22" spans="1:24" x14ac:dyDescent="0.25">
      <c r="A22" s="18">
        <v>42716</v>
      </c>
      <c r="B22" s="19">
        <v>3</v>
      </c>
      <c r="C22" s="19" t="s">
        <v>45</v>
      </c>
      <c r="D22" s="19"/>
      <c r="E22" s="20">
        <v>0.59375</v>
      </c>
      <c r="F22" s="20">
        <v>0.60069444444444442</v>
      </c>
      <c r="G22" s="20">
        <v>0.62152777777777779</v>
      </c>
      <c r="H22" s="20">
        <v>0.8125</v>
      </c>
      <c r="I22" s="20">
        <v>0.83333333333333337</v>
      </c>
      <c r="J22" s="20">
        <v>0.86805555555555547</v>
      </c>
      <c r="K22" s="21">
        <f>Tableau44[[#This Row],[Fermeture]]-Tableau44[[#This Row],[Incision]]</f>
        <v>0.19097222222222221</v>
      </c>
      <c r="L22" s="21">
        <f>Tableau44[[#This Row],[Sortie de salle/ER]]-Tableau44[[#This Row],[Entrée de salle]]</f>
        <v>0.23958333333333337</v>
      </c>
      <c r="M22" s="19">
        <v>1</v>
      </c>
      <c r="N22" s="14"/>
      <c r="O22" s="15">
        <f>Tableau44[[#This Row],[Sortie reveil]]-Tableau44[[#This Row],[Sortie de salle/ER]]</f>
        <v>3.4722222222222099E-2</v>
      </c>
      <c r="P22" s="14"/>
      <c r="Q22" s="14"/>
      <c r="R22" s="14"/>
      <c r="S22" s="14" t="s">
        <v>30</v>
      </c>
      <c r="T22" s="15">
        <f>IF(Tableau44[[#This Row],[Sortie reveil]]&gt;$L$72,Tableau44[[#This Row],[Sortie reveil]]-$L$72,"")</f>
        <v>4.513888888888884E-2</v>
      </c>
      <c r="U22" s="15">
        <f>IF(Tableau44[[#This Row],[Sortie de salle/ER]]&gt;$L$73,(Tableau44[[#This Row],[Sortie de salle/ER]]-$L$73),"")</f>
        <v>3.125E-2</v>
      </c>
      <c r="V22" s="15" t="str">
        <f>IF(AND(Tableau44[[#This Row],[Date  
JJ/MM/AAAA]]=A21,Tableau44[[#This Row],[salle]]=B21),(Tableau44[[#This Row],[Entrée de salle]]-I21),"")</f>
        <v/>
      </c>
      <c r="W22" s="24" t="str">
        <f t="shared" si="0"/>
        <v/>
      </c>
      <c r="X22" s="9" t="str">
        <f t="shared" si="1"/>
        <v>lundi</v>
      </c>
    </row>
    <row r="23" spans="1:24" x14ac:dyDescent="0.25">
      <c r="A23" s="10">
        <v>42717</v>
      </c>
      <c r="B23" s="11">
        <v>1</v>
      </c>
      <c r="C23" s="11" t="s">
        <v>46</v>
      </c>
      <c r="D23" s="11"/>
      <c r="E23" s="12">
        <v>0.35416666666666669</v>
      </c>
      <c r="F23" s="12">
        <v>0.3611111111111111</v>
      </c>
      <c r="G23" s="12">
        <v>0.36805555555555558</v>
      </c>
      <c r="H23" s="12">
        <v>0.3888888888888889</v>
      </c>
      <c r="I23" s="12">
        <v>0.3923611111111111</v>
      </c>
      <c r="J23" s="12">
        <v>0.42708333333333331</v>
      </c>
      <c r="K23" s="13">
        <f>Tableau44[[#This Row],[Fermeture]]-Tableau44[[#This Row],[Incision]]</f>
        <v>2.0833333333333315E-2</v>
      </c>
      <c r="L23" s="13">
        <f>Tableau44[[#This Row],[Sortie de salle/ER]]-Tableau44[[#This Row],[Entrée de salle]]</f>
        <v>3.819444444444442E-2</v>
      </c>
      <c r="M23" s="11">
        <v>1</v>
      </c>
      <c r="N23" s="14">
        <v>3</v>
      </c>
      <c r="O23" s="15">
        <f>Tableau44[[#This Row],[Sortie reveil]]-Tableau44[[#This Row],[Sortie de salle/ER]]</f>
        <v>3.472222222222221E-2</v>
      </c>
      <c r="P23" s="22">
        <v>0.3611111111111111</v>
      </c>
      <c r="Q23" s="22">
        <v>0.71527777777777779</v>
      </c>
      <c r="R23" s="22"/>
      <c r="S23" s="14" t="s">
        <v>34</v>
      </c>
      <c r="T23" s="15" t="str">
        <f>IF(Tableau44[[#This Row],[Sortie reveil]]&gt;$L$72,Tableau44[[#This Row],[Sortie reveil]]-$L$72,"")</f>
        <v/>
      </c>
      <c r="U23" s="15" t="str">
        <f>IF(Tableau44[[#This Row],[Sortie de salle/ER]]&gt;$L$73,(Tableau44[[#This Row],[Sortie de salle/ER]]-$L$73),"")</f>
        <v/>
      </c>
      <c r="V23" s="15" t="str">
        <f>IF(AND(Tableau44[[#This Row],[Date  
JJ/MM/AAAA]]=A22,Tableau44[[#This Row],[salle]]=B22),(Tableau44[[#This Row],[Entrée de salle]]-I22),"")</f>
        <v/>
      </c>
      <c r="W23" s="24" t="str">
        <f t="shared" si="0"/>
        <v>mardi</v>
      </c>
      <c r="X23" s="9" t="str">
        <f t="shared" si="1"/>
        <v>mardi</v>
      </c>
    </row>
    <row r="24" spans="1:24" x14ac:dyDescent="0.25">
      <c r="A24" s="10">
        <v>42717</v>
      </c>
      <c r="B24" s="11">
        <v>1</v>
      </c>
      <c r="C24" s="11" t="s">
        <v>38</v>
      </c>
      <c r="D24" s="11"/>
      <c r="E24" s="12">
        <v>0.40625</v>
      </c>
      <c r="F24" s="12">
        <v>0.40972222222222227</v>
      </c>
      <c r="G24" s="12">
        <v>0.43055555555555558</v>
      </c>
      <c r="H24" s="12">
        <v>0.50347222222222221</v>
      </c>
      <c r="I24" s="12">
        <v>0.51736111111111105</v>
      </c>
      <c r="J24" s="12">
        <v>0.55902777777777779</v>
      </c>
      <c r="K24" s="13">
        <f>Tableau44[[#This Row],[Fermeture]]-Tableau44[[#This Row],[Incision]]</f>
        <v>7.291666666666663E-2</v>
      </c>
      <c r="L24" s="13">
        <f>Tableau44[[#This Row],[Sortie de salle/ER]]-Tableau44[[#This Row],[Entrée de salle]]</f>
        <v>0.11111111111111105</v>
      </c>
      <c r="M24" s="11">
        <v>1</v>
      </c>
      <c r="N24" s="14"/>
      <c r="O24" s="15">
        <f>Tableau44[[#This Row],[Sortie reveil]]-Tableau44[[#This Row],[Sortie de salle/ER]]</f>
        <v>4.1666666666666741E-2</v>
      </c>
      <c r="P24" s="14"/>
      <c r="Q24" s="14"/>
      <c r="R24" s="14"/>
      <c r="S24" s="14" t="s">
        <v>34</v>
      </c>
      <c r="T24" s="15" t="str">
        <f>IF(Tableau44[[#This Row],[Sortie reveil]]&gt;$L$72,Tableau44[[#This Row],[Sortie reveil]]-$L$72,"")</f>
        <v/>
      </c>
      <c r="U24" s="15" t="str">
        <f>IF(Tableau44[[#This Row],[Sortie de salle/ER]]&gt;$L$73,(Tableau44[[#This Row],[Sortie de salle/ER]]-$L$73),"")</f>
        <v/>
      </c>
      <c r="V24" s="15">
        <f>IF(AND(Tableau44[[#This Row],[Date  
JJ/MM/AAAA]]=A23,Tableau44[[#This Row],[salle]]=B23),(Tableau44[[#This Row],[Entrée de salle]]-I23),"")</f>
        <v>1.3888888888888895E-2</v>
      </c>
      <c r="W24" s="24" t="str">
        <f t="shared" si="0"/>
        <v/>
      </c>
      <c r="X24" s="9" t="str">
        <f t="shared" si="1"/>
        <v>mardi</v>
      </c>
    </row>
    <row r="25" spans="1:24" x14ac:dyDescent="0.25">
      <c r="A25" s="25">
        <v>42717</v>
      </c>
      <c r="B25" s="26">
        <v>2</v>
      </c>
      <c r="C25" s="26" t="s">
        <v>36</v>
      </c>
      <c r="D25" s="26"/>
      <c r="E25" s="27">
        <v>0.35416666666666669</v>
      </c>
      <c r="F25" s="27">
        <v>0.3611111111111111</v>
      </c>
      <c r="G25" s="27">
        <v>0.38194444444444442</v>
      </c>
      <c r="H25" s="27">
        <v>0.43402777777777773</v>
      </c>
      <c r="I25" s="27">
        <v>0.44791666666666669</v>
      </c>
      <c r="J25" s="27">
        <v>0.52083333333333337</v>
      </c>
      <c r="K25" s="28">
        <f>Tableau44[[#This Row],[Fermeture]]-Tableau44[[#This Row],[Incision]]</f>
        <v>5.2083333333333315E-2</v>
      </c>
      <c r="L25" s="28">
        <f>Tableau44[[#This Row],[Sortie de salle/ER]]-Tableau44[[#This Row],[Entrée de salle]]</f>
        <v>9.375E-2</v>
      </c>
      <c r="M25" s="26">
        <v>1</v>
      </c>
      <c r="N25" s="14"/>
      <c r="O25" s="15">
        <f>Tableau44[[#This Row],[Sortie reveil]]-Tableau44[[#This Row],[Sortie de salle/ER]]</f>
        <v>7.2916666666666685E-2</v>
      </c>
      <c r="P25" s="14"/>
      <c r="Q25" s="14"/>
      <c r="R25" s="14"/>
      <c r="S25" s="14" t="s">
        <v>34</v>
      </c>
      <c r="T25" s="15" t="str">
        <f>IF(Tableau44[[#This Row],[Sortie reveil]]&gt;$L$72,Tableau44[[#This Row],[Sortie reveil]]-$L$72,"")</f>
        <v/>
      </c>
      <c r="U25" s="15" t="str">
        <f>IF(Tableau44[[#This Row],[Sortie de salle/ER]]&gt;$L$73,(Tableau44[[#This Row],[Sortie de salle/ER]]-$L$73),"")</f>
        <v/>
      </c>
      <c r="V25" s="15" t="str">
        <f>IF(AND(Tableau44[[#This Row],[Date  
JJ/MM/AAAA]]=A24,Tableau44[[#This Row],[salle]]=B24),(Tableau44[[#This Row],[Entrée de salle]]-I24),"")</f>
        <v/>
      </c>
      <c r="W25" s="24" t="str">
        <f t="shared" si="0"/>
        <v/>
      </c>
      <c r="X25" s="9" t="str">
        <f t="shared" si="1"/>
        <v>mardi</v>
      </c>
    </row>
    <row r="26" spans="1:24" x14ac:dyDescent="0.25">
      <c r="A26" s="25">
        <v>42717</v>
      </c>
      <c r="B26" s="26">
        <v>2</v>
      </c>
      <c r="C26" s="26" t="s">
        <v>46</v>
      </c>
      <c r="D26" s="26"/>
      <c r="E26" s="27">
        <v>0.50694444444444442</v>
      </c>
      <c r="F26" s="27">
        <v>0.52430555555555558</v>
      </c>
      <c r="G26" s="27">
        <v>0.54513888888888895</v>
      </c>
      <c r="H26" s="27">
        <v>0.56597222222222221</v>
      </c>
      <c r="I26" s="27">
        <v>0.57291666666666663</v>
      </c>
      <c r="J26" s="27">
        <v>0.64583333333333337</v>
      </c>
      <c r="K26" s="28">
        <f>Tableau44[[#This Row],[Fermeture]]-Tableau44[[#This Row],[Incision]]</f>
        <v>2.0833333333333259E-2</v>
      </c>
      <c r="L26" s="28">
        <f>Tableau44[[#This Row],[Sortie de salle/ER]]-Tableau44[[#This Row],[Entrée de salle]]</f>
        <v>6.597222222222221E-2</v>
      </c>
      <c r="M26" s="26">
        <v>1</v>
      </c>
      <c r="N26" s="14"/>
      <c r="O26" s="15">
        <f>Tableau44[[#This Row],[Sortie reveil]]-Tableau44[[#This Row],[Sortie de salle/ER]]</f>
        <v>7.2916666666666741E-2</v>
      </c>
      <c r="P26" s="14"/>
      <c r="Q26" s="14"/>
      <c r="R26" s="14"/>
      <c r="S26" s="14" t="s">
        <v>34</v>
      </c>
      <c r="T26" s="15" t="str">
        <f>IF(Tableau44[[#This Row],[Sortie reveil]]&gt;$L$72,Tableau44[[#This Row],[Sortie reveil]]-$L$72,"")</f>
        <v/>
      </c>
      <c r="U26" s="15" t="str">
        <f>IF(Tableau44[[#This Row],[Sortie de salle/ER]]&gt;$L$73,(Tableau44[[#This Row],[Sortie de salle/ER]]-$L$73),"")</f>
        <v/>
      </c>
      <c r="V26" s="15">
        <f>IF(AND(Tableau44[[#This Row],[Date  
JJ/MM/AAAA]]=A25,Tableau44[[#This Row],[salle]]=B25),(Tableau44[[#This Row],[Entrée de salle]]-I25),"")</f>
        <v>5.9027777777777735E-2</v>
      </c>
      <c r="W26" s="24" t="str">
        <f t="shared" si="0"/>
        <v/>
      </c>
      <c r="X26" s="9" t="str">
        <f t="shared" si="1"/>
        <v>mardi</v>
      </c>
    </row>
    <row r="27" spans="1:24" x14ac:dyDescent="0.25">
      <c r="A27" s="25">
        <v>42717</v>
      </c>
      <c r="B27" s="26">
        <v>2</v>
      </c>
      <c r="C27" s="26" t="s">
        <v>47</v>
      </c>
      <c r="D27" s="26"/>
      <c r="E27" s="27">
        <v>0.61111111111111105</v>
      </c>
      <c r="F27" s="27">
        <v>0.62152777777777779</v>
      </c>
      <c r="G27" s="27">
        <v>0.625</v>
      </c>
      <c r="H27" s="27">
        <v>0.63541666666666663</v>
      </c>
      <c r="I27" s="27">
        <v>0.64236111111111105</v>
      </c>
      <c r="J27" s="27">
        <v>0.64930555555555558</v>
      </c>
      <c r="K27" s="28">
        <f>Tableau44[[#This Row],[Fermeture]]-Tableau44[[#This Row],[Incision]]</f>
        <v>1.041666666666663E-2</v>
      </c>
      <c r="L27" s="28">
        <f>Tableau44[[#This Row],[Sortie de salle/ER]]-Tableau44[[#This Row],[Entrée de salle]]</f>
        <v>3.125E-2</v>
      </c>
      <c r="M27" s="26">
        <v>1</v>
      </c>
      <c r="N27" s="14"/>
      <c r="O27" s="15">
        <f>Tableau44[[#This Row],[Sortie reveil]]-Tableau44[[#This Row],[Sortie de salle/ER]]</f>
        <v>6.9444444444445308E-3</v>
      </c>
      <c r="P27" s="14"/>
      <c r="Q27" s="14"/>
      <c r="R27" s="14"/>
      <c r="S27" s="14" t="s">
        <v>34</v>
      </c>
      <c r="T27" s="15" t="str">
        <f>IF(Tableau44[[#This Row],[Sortie reveil]]&gt;$L$72,Tableau44[[#This Row],[Sortie reveil]]-$L$72,"")</f>
        <v/>
      </c>
      <c r="U27" s="15" t="str">
        <f>IF(Tableau44[[#This Row],[Sortie de salle/ER]]&gt;$L$73,(Tableau44[[#This Row],[Sortie de salle/ER]]-$L$73),"")</f>
        <v/>
      </c>
      <c r="V27" s="15">
        <f>IF(AND(Tableau44[[#This Row],[Date  
JJ/MM/AAAA]]=A26,Tableau44[[#This Row],[salle]]=B26),(Tableau44[[#This Row],[Entrée de salle]]-I26),"")</f>
        <v>3.819444444444442E-2</v>
      </c>
      <c r="W27" s="24" t="str">
        <f t="shared" si="0"/>
        <v/>
      </c>
      <c r="X27" s="9" t="str">
        <f t="shared" si="1"/>
        <v>mardi</v>
      </c>
    </row>
    <row r="28" spans="1:24" x14ac:dyDescent="0.25">
      <c r="A28" s="18">
        <v>42717</v>
      </c>
      <c r="B28" s="19">
        <v>3</v>
      </c>
      <c r="C28" s="19" t="s">
        <v>48</v>
      </c>
      <c r="D28" s="19"/>
      <c r="E28" s="20">
        <v>0.35416666666666669</v>
      </c>
      <c r="F28" s="20">
        <v>0.375</v>
      </c>
      <c r="G28" s="20">
        <v>0.3923611111111111</v>
      </c>
      <c r="H28" s="20">
        <v>0.44791666666666669</v>
      </c>
      <c r="I28" s="20">
        <v>0.4548611111111111</v>
      </c>
      <c r="J28" s="20">
        <v>0.53749999999999998</v>
      </c>
      <c r="K28" s="21">
        <f>Tableau44[[#This Row],[Fermeture]]-Tableau44[[#This Row],[Incision]]</f>
        <v>5.555555555555558E-2</v>
      </c>
      <c r="L28" s="21">
        <f>Tableau44[[#This Row],[Sortie de salle/ER]]-Tableau44[[#This Row],[Entrée de salle]]</f>
        <v>0.10069444444444442</v>
      </c>
      <c r="M28" s="19">
        <v>1</v>
      </c>
      <c r="N28" s="14"/>
      <c r="O28" s="15">
        <f>Tableau44[[#This Row],[Sortie reveil]]-Tableau44[[#This Row],[Sortie de salle/ER]]</f>
        <v>8.2638888888888873E-2</v>
      </c>
      <c r="P28" s="14"/>
      <c r="Q28" s="14"/>
      <c r="R28" s="14"/>
      <c r="S28" s="14" t="s">
        <v>34</v>
      </c>
      <c r="T28" s="15" t="str">
        <f>IF(Tableau44[[#This Row],[Sortie reveil]]&gt;$L$72,Tableau44[[#This Row],[Sortie reveil]]-$L$72,"")</f>
        <v/>
      </c>
      <c r="U28" s="15" t="str">
        <f>IF(Tableau44[[#This Row],[Sortie de salle/ER]]&gt;$L$73,(Tableau44[[#This Row],[Sortie de salle/ER]]-$L$73),"")</f>
        <v/>
      </c>
      <c r="V28" s="15" t="str">
        <f>IF(AND(Tableau44[[#This Row],[Date  
JJ/MM/AAAA]]=A27,Tableau44[[#This Row],[salle]]=B27),(Tableau44[[#This Row],[Entrée de salle]]-I27),"")</f>
        <v/>
      </c>
      <c r="W28" s="24" t="str">
        <f t="shared" si="0"/>
        <v/>
      </c>
      <c r="X28" s="9" t="str">
        <f t="shared" si="1"/>
        <v>mardi</v>
      </c>
    </row>
    <row r="29" spans="1:24" x14ac:dyDescent="0.25">
      <c r="A29" s="18">
        <v>42717</v>
      </c>
      <c r="B29" s="19">
        <v>3</v>
      </c>
      <c r="C29" s="19" t="s">
        <v>35</v>
      </c>
      <c r="D29" s="19"/>
      <c r="E29" s="20">
        <v>0.46875</v>
      </c>
      <c r="F29" s="20">
        <v>0.4826388888888889</v>
      </c>
      <c r="G29" s="20">
        <v>0.5</v>
      </c>
      <c r="H29" s="20">
        <v>0.60416666666666663</v>
      </c>
      <c r="I29" s="20">
        <v>0.61458333333333337</v>
      </c>
      <c r="J29" s="20">
        <v>0.71527777777777779</v>
      </c>
      <c r="K29" s="21">
        <f>Tableau44[[#This Row],[Fermeture]]-Tableau44[[#This Row],[Incision]]</f>
        <v>0.10416666666666663</v>
      </c>
      <c r="L29" s="21">
        <f>Tableau44[[#This Row],[Sortie de salle/ER]]-Tableau44[[#This Row],[Entrée de salle]]</f>
        <v>0.14583333333333337</v>
      </c>
      <c r="M29" s="19">
        <v>1</v>
      </c>
      <c r="N29" s="14"/>
      <c r="O29" s="15">
        <f>Tableau44[[#This Row],[Sortie reveil]]-Tableau44[[#This Row],[Sortie de salle/ER]]</f>
        <v>0.10069444444444442</v>
      </c>
      <c r="P29" s="14"/>
      <c r="Q29" s="14"/>
      <c r="R29" s="14"/>
      <c r="S29" s="14" t="s">
        <v>34</v>
      </c>
      <c r="T29" s="15" t="str">
        <f>IF(Tableau44[[#This Row],[Sortie reveil]]&gt;$L$72,Tableau44[[#This Row],[Sortie reveil]]-$L$72,"")</f>
        <v/>
      </c>
      <c r="U29" s="15" t="str">
        <f>IF(Tableau44[[#This Row],[Sortie de salle/ER]]&gt;$L$73,(Tableau44[[#This Row],[Sortie de salle/ER]]-$L$73),"")</f>
        <v/>
      </c>
      <c r="V29" s="15">
        <f>IF(AND(Tableau44[[#This Row],[Date  
JJ/MM/AAAA]]=A28,Tableau44[[#This Row],[salle]]=B28),(Tableau44[[#This Row],[Entrée de salle]]-I28),"")</f>
        <v>1.3888888888888895E-2</v>
      </c>
      <c r="W29" s="24" t="str">
        <f t="shared" si="0"/>
        <v/>
      </c>
      <c r="X29" s="9" t="str">
        <f t="shared" si="1"/>
        <v>mardi</v>
      </c>
    </row>
    <row r="30" spans="1:24" x14ac:dyDescent="0.25">
      <c r="A30" s="10">
        <v>42718</v>
      </c>
      <c r="B30" s="11">
        <v>1</v>
      </c>
      <c r="C30" s="11" t="s">
        <v>41</v>
      </c>
      <c r="D30" s="11"/>
      <c r="E30" s="12">
        <v>0.3576388888888889</v>
      </c>
      <c r="F30" s="12">
        <v>0.36458333333333331</v>
      </c>
      <c r="G30" s="12">
        <v>0.375</v>
      </c>
      <c r="H30" s="12">
        <v>0.3888888888888889</v>
      </c>
      <c r="I30" s="12">
        <v>0.3923611111111111</v>
      </c>
      <c r="J30" s="12">
        <v>0.42708333333333331</v>
      </c>
      <c r="K30" s="13">
        <f>Tableau44[[#This Row],[Fermeture]]-Tableau44[[#This Row],[Incision]]</f>
        <v>1.3888888888888895E-2</v>
      </c>
      <c r="L30" s="13">
        <f>Tableau44[[#This Row],[Sortie de salle/ER]]-Tableau44[[#This Row],[Entrée de salle]]</f>
        <v>3.472222222222221E-2</v>
      </c>
      <c r="M30" s="11">
        <v>1</v>
      </c>
      <c r="N30" s="14">
        <v>3</v>
      </c>
      <c r="O30" s="15">
        <f>Tableau44[[#This Row],[Sortie reveil]]-Tableau44[[#This Row],[Sortie de salle/ER]]</f>
        <v>3.472222222222221E-2</v>
      </c>
      <c r="P30" s="22">
        <v>0.47222222222222227</v>
      </c>
      <c r="Q30" s="22">
        <v>0.82638888888888884</v>
      </c>
      <c r="R30" s="22"/>
      <c r="S30" s="14" t="s">
        <v>40</v>
      </c>
      <c r="T30" s="15" t="str">
        <f>IF(Tableau44[[#This Row],[Sortie reveil]]&gt;$L$72,Tableau44[[#This Row],[Sortie reveil]]-$L$72,"")</f>
        <v/>
      </c>
      <c r="U30" s="15" t="str">
        <f>IF(Tableau44[[#This Row],[Sortie de salle/ER]]&gt;$L$73,(Tableau44[[#This Row],[Sortie de salle/ER]]-$L$73),"")</f>
        <v/>
      </c>
      <c r="V30" s="15" t="str">
        <f>IF(AND(Tableau44[[#This Row],[Date  
JJ/MM/AAAA]]=A29,Tableau44[[#This Row],[salle]]=B29),(Tableau44[[#This Row],[Entrée de salle]]-I29),"")</f>
        <v/>
      </c>
      <c r="W30" s="24" t="str">
        <f t="shared" si="0"/>
        <v>mercredi</v>
      </c>
      <c r="X30" s="9" t="str">
        <f t="shared" si="1"/>
        <v>mercredi</v>
      </c>
    </row>
    <row r="31" spans="1:24" x14ac:dyDescent="0.25">
      <c r="A31" s="10">
        <v>42718</v>
      </c>
      <c r="B31" s="11">
        <v>1</v>
      </c>
      <c r="C31" s="11" t="s">
        <v>49</v>
      </c>
      <c r="D31" s="11"/>
      <c r="E31" s="12">
        <v>0.40277777777777773</v>
      </c>
      <c r="F31" s="12">
        <v>0.40972222222222227</v>
      </c>
      <c r="G31" s="12">
        <v>0.4375</v>
      </c>
      <c r="H31" s="12">
        <v>0.4861111111111111</v>
      </c>
      <c r="I31" s="12">
        <v>0.49305555555555558</v>
      </c>
      <c r="J31" s="12">
        <v>0.55555555555555558</v>
      </c>
      <c r="K31" s="13">
        <f>Tableau44[[#This Row],[Fermeture]]-Tableau44[[#This Row],[Incision]]</f>
        <v>4.8611111111111105E-2</v>
      </c>
      <c r="L31" s="13">
        <f>Tableau44[[#This Row],[Sortie de salle/ER]]-Tableau44[[#This Row],[Entrée de salle]]</f>
        <v>9.0277777777777846E-2</v>
      </c>
      <c r="M31" s="11">
        <v>1</v>
      </c>
      <c r="N31" s="14"/>
      <c r="O31" s="15">
        <f>Tableau44[[#This Row],[Sortie reveil]]-Tableau44[[#This Row],[Sortie de salle/ER]]</f>
        <v>6.25E-2</v>
      </c>
      <c r="P31" s="14"/>
      <c r="Q31" s="14"/>
      <c r="R31" s="14"/>
      <c r="S31" s="14" t="s">
        <v>40</v>
      </c>
      <c r="T31" s="15" t="str">
        <f>IF(Tableau44[[#This Row],[Sortie reveil]]&gt;$L$72,Tableau44[[#This Row],[Sortie reveil]]-$L$72,"")</f>
        <v/>
      </c>
      <c r="U31" s="15" t="str">
        <f>IF(Tableau44[[#This Row],[Sortie de salle/ER]]&gt;$L$73,(Tableau44[[#This Row],[Sortie de salle/ER]]-$L$73),"")</f>
        <v/>
      </c>
      <c r="V31" s="15">
        <f>IF(AND(Tableau44[[#This Row],[Date  
JJ/MM/AAAA]]=A30,Tableau44[[#This Row],[salle]]=B30),(Tableau44[[#This Row],[Entrée de salle]]-I30),"")</f>
        <v>1.041666666666663E-2</v>
      </c>
      <c r="W31" s="24" t="str">
        <f t="shared" si="0"/>
        <v/>
      </c>
      <c r="X31" s="9" t="str">
        <f t="shared" si="1"/>
        <v>mercredi</v>
      </c>
    </row>
    <row r="32" spans="1:24" x14ac:dyDescent="0.25">
      <c r="A32" s="10">
        <v>42718</v>
      </c>
      <c r="B32" s="11">
        <v>1</v>
      </c>
      <c r="C32" s="11" t="s">
        <v>50</v>
      </c>
      <c r="D32" s="11"/>
      <c r="E32" s="12">
        <v>0.50694444444444442</v>
      </c>
      <c r="F32" s="12">
        <v>0.52430555555555558</v>
      </c>
      <c r="G32" s="12">
        <v>0.53819444444444442</v>
      </c>
      <c r="H32" s="12">
        <v>0.59027777777777779</v>
      </c>
      <c r="I32" s="12">
        <v>0.60763888888888895</v>
      </c>
      <c r="J32" s="12">
        <v>0.69444444444444453</v>
      </c>
      <c r="K32" s="13">
        <f>Tableau44[[#This Row],[Fermeture]]-Tableau44[[#This Row],[Incision]]</f>
        <v>5.208333333333337E-2</v>
      </c>
      <c r="L32" s="13">
        <f>Tableau44[[#This Row],[Sortie de salle/ER]]-Tableau44[[#This Row],[Entrée de salle]]</f>
        <v>0.10069444444444453</v>
      </c>
      <c r="M32" s="11">
        <v>1</v>
      </c>
      <c r="N32" s="14"/>
      <c r="O32" s="15">
        <f>Tableau44[[#This Row],[Sortie reveil]]-Tableau44[[#This Row],[Sortie de salle/ER]]</f>
        <v>8.680555555555558E-2</v>
      </c>
      <c r="P32" s="14"/>
      <c r="Q32" s="14"/>
      <c r="R32" s="14"/>
      <c r="S32" s="14" t="s">
        <v>40</v>
      </c>
      <c r="T32" s="15" t="str">
        <f>IF(Tableau44[[#This Row],[Sortie reveil]]&gt;$L$72,Tableau44[[#This Row],[Sortie reveil]]-$L$72,"")</f>
        <v/>
      </c>
      <c r="U32" s="15" t="str">
        <f>IF(Tableau44[[#This Row],[Sortie de salle/ER]]&gt;$L$73,(Tableau44[[#This Row],[Sortie de salle/ER]]-$L$73),"")</f>
        <v/>
      </c>
      <c r="V32" s="15">
        <f>IF(AND(Tableau44[[#This Row],[Date  
JJ/MM/AAAA]]=A31,Tableau44[[#This Row],[salle]]=B31),(Tableau44[[#This Row],[Entrée de salle]]-I31),"")</f>
        <v>1.388888888888884E-2</v>
      </c>
      <c r="W32" s="24" t="str">
        <f t="shared" si="0"/>
        <v/>
      </c>
      <c r="X32" s="9" t="str">
        <f t="shared" si="1"/>
        <v>mercredi</v>
      </c>
    </row>
    <row r="33" spans="1:24" x14ac:dyDescent="0.25">
      <c r="A33" s="25">
        <v>42718</v>
      </c>
      <c r="B33" s="26">
        <v>2</v>
      </c>
      <c r="C33" s="26" t="s">
        <v>36</v>
      </c>
      <c r="D33" s="26"/>
      <c r="E33" s="27">
        <v>0.3611111111111111</v>
      </c>
      <c r="F33" s="27">
        <v>0.375</v>
      </c>
      <c r="G33" s="27">
        <v>0.38194444444444442</v>
      </c>
      <c r="H33" s="27">
        <v>0.42708333333333331</v>
      </c>
      <c r="I33" s="27">
        <v>0.43402777777777773</v>
      </c>
      <c r="J33" s="27">
        <v>0.46527777777777773</v>
      </c>
      <c r="K33" s="28">
        <f>Tableau44[[#This Row],[Fermeture]]-Tableau44[[#This Row],[Incision]]</f>
        <v>4.5138888888888895E-2</v>
      </c>
      <c r="L33" s="28">
        <f>Tableau44[[#This Row],[Sortie de salle/ER]]-Tableau44[[#This Row],[Entrée de salle]]</f>
        <v>7.291666666666663E-2</v>
      </c>
      <c r="M33" s="26">
        <v>1</v>
      </c>
      <c r="N33" s="14"/>
      <c r="O33" s="15">
        <f>Tableau44[[#This Row],[Sortie reveil]]-Tableau44[[#This Row],[Sortie de salle/ER]]</f>
        <v>3.125E-2</v>
      </c>
      <c r="P33" s="14"/>
      <c r="Q33" s="14"/>
      <c r="R33" s="14"/>
      <c r="S33" s="14" t="s">
        <v>40</v>
      </c>
      <c r="T33" s="15" t="str">
        <f>IF(Tableau44[[#This Row],[Sortie reveil]]&gt;$L$72,Tableau44[[#This Row],[Sortie reveil]]-$L$72,"")</f>
        <v/>
      </c>
      <c r="U33" s="15" t="str">
        <f>IF(Tableau44[[#This Row],[Sortie de salle/ER]]&gt;$L$73,(Tableau44[[#This Row],[Sortie de salle/ER]]-$L$73),"")</f>
        <v/>
      </c>
      <c r="V33" s="15" t="str">
        <f>IF(AND(Tableau44[[#This Row],[Date  
JJ/MM/AAAA]]=A32,Tableau44[[#This Row],[salle]]=B32),(Tableau44[[#This Row],[Entrée de salle]]-I32),"")</f>
        <v/>
      </c>
      <c r="W33" s="24" t="str">
        <f t="shared" si="0"/>
        <v/>
      </c>
      <c r="X33" s="9" t="str">
        <f t="shared" si="1"/>
        <v>mercredi</v>
      </c>
    </row>
    <row r="34" spans="1:24" x14ac:dyDescent="0.25">
      <c r="A34" s="25">
        <v>42718</v>
      </c>
      <c r="B34" s="26">
        <v>2</v>
      </c>
      <c r="C34" s="26" t="s">
        <v>51</v>
      </c>
      <c r="D34" s="26"/>
      <c r="E34" s="27">
        <v>0.44444444444444442</v>
      </c>
      <c r="F34" s="27">
        <v>0.4513888888888889</v>
      </c>
      <c r="G34" s="27">
        <v>0.45833333333333331</v>
      </c>
      <c r="H34" s="27">
        <v>0.52430555555555558</v>
      </c>
      <c r="I34" s="27">
        <v>0.52777777777777779</v>
      </c>
      <c r="J34" s="27">
        <v>0.61458333333333337</v>
      </c>
      <c r="K34" s="28">
        <f>Tableau44[[#This Row],[Fermeture]]-Tableau44[[#This Row],[Incision]]</f>
        <v>6.5972222222222265E-2</v>
      </c>
      <c r="L34" s="28">
        <f>Tableau44[[#This Row],[Sortie de salle/ER]]-Tableau44[[#This Row],[Entrée de salle]]</f>
        <v>8.333333333333337E-2</v>
      </c>
      <c r="M34" s="26">
        <v>1</v>
      </c>
      <c r="N34" s="14"/>
      <c r="O34" s="15">
        <f>Tableau44[[#This Row],[Sortie reveil]]-Tableau44[[#This Row],[Sortie de salle/ER]]</f>
        <v>8.680555555555558E-2</v>
      </c>
      <c r="P34" s="14"/>
      <c r="Q34" s="14"/>
      <c r="R34" s="14"/>
      <c r="S34" s="14" t="s">
        <v>40</v>
      </c>
      <c r="T34" s="15" t="str">
        <f>IF(Tableau44[[#This Row],[Sortie reveil]]&gt;$L$72,Tableau44[[#This Row],[Sortie reveil]]-$L$72,"")</f>
        <v/>
      </c>
      <c r="U34" s="15" t="str">
        <f>IF(Tableau44[[#This Row],[Sortie de salle/ER]]&gt;$L$73,(Tableau44[[#This Row],[Sortie de salle/ER]]-$L$73),"")</f>
        <v/>
      </c>
      <c r="V34" s="15">
        <f>IF(AND(Tableau44[[#This Row],[Date  
JJ/MM/AAAA]]=A33,Tableau44[[#This Row],[salle]]=B33),(Tableau44[[#This Row],[Entrée de salle]]-I33),"")</f>
        <v>1.0416666666666685E-2</v>
      </c>
      <c r="W34" s="24" t="str">
        <f t="shared" si="0"/>
        <v/>
      </c>
      <c r="X34" s="9" t="str">
        <f t="shared" si="1"/>
        <v>mercredi</v>
      </c>
    </row>
    <row r="35" spans="1:24" x14ac:dyDescent="0.25">
      <c r="A35" s="25">
        <v>42718</v>
      </c>
      <c r="B35" s="26">
        <v>2</v>
      </c>
      <c r="C35" s="26" t="s">
        <v>52</v>
      </c>
      <c r="D35" s="26"/>
      <c r="E35" s="27">
        <v>0.58680555555555558</v>
      </c>
      <c r="F35" s="27">
        <v>0.60416666666666663</v>
      </c>
      <c r="G35" s="27">
        <v>0.625</v>
      </c>
      <c r="H35" s="27">
        <v>0.77430555555555547</v>
      </c>
      <c r="I35" s="27">
        <v>0.78472222222222221</v>
      </c>
      <c r="J35" s="27">
        <v>0.82638888888888884</v>
      </c>
      <c r="K35" s="28">
        <f>Tableau44[[#This Row],[Fermeture]]-Tableau44[[#This Row],[Incision]]</f>
        <v>0.14930555555555547</v>
      </c>
      <c r="L35" s="28">
        <f>Tableau44[[#This Row],[Sortie de salle/ER]]-Tableau44[[#This Row],[Entrée de salle]]</f>
        <v>0.19791666666666663</v>
      </c>
      <c r="M35" s="26">
        <v>1</v>
      </c>
      <c r="N35" s="14"/>
      <c r="O35" s="15">
        <f>Tableau44[[#This Row],[Sortie reveil]]-Tableau44[[#This Row],[Sortie de salle/ER]]</f>
        <v>4.166666666666663E-2</v>
      </c>
      <c r="P35" s="14"/>
      <c r="Q35" s="14"/>
      <c r="R35" s="14"/>
      <c r="S35" s="14" t="s">
        <v>40</v>
      </c>
      <c r="T35" s="15">
        <f>IF(Tableau44[[#This Row],[Sortie reveil]]&gt;$L$72,Tableau44[[#This Row],[Sortie reveil]]-$L$72,"")</f>
        <v>3.4722222222222099E-3</v>
      </c>
      <c r="U35" s="15" t="str">
        <f>IF(Tableau44[[#This Row],[Sortie de salle/ER]]&gt;$L$73,(Tableau44[[#This Row],[Sortie de salle/ER]]-$L$73),"")</f>
        <v/>
      </c>
      <c r="V35" s="15">
        <f>IF(AND(Tableau44[[#This Row],[Date  
JJ/MM/AAAA]]=A34,Tableau44[[#This Row],[salle]]=B34),(Tableau44[[#This Row],[Entrée de salle]]-I34),"")</f>
        <v>5.902777777777779E-2</v>
      </c>
      <c r="W35" s="24" t="str">
        <f t="shared" si="0"/>
        <v/>
      </c>
      <c r="X35" s="9" t="str">
        <f t="shared" si="1"/>
        <v>mercredi</v>
      </c>
    </row>
    <row r="36" spans="1:24" x14ac:dyDescent="0.25">
      <c r="A36" s="18">
        <v>42718</v>
      </c>
      <c r="B36" s="19">
        <v>3</v>
      </c>
      <c r="C36" s="19" t="s">
        <v>35</v>
      </c>
      <c r="D36" s="19"/>
      <c r="E36" s="20">
        <v>0.35416666666666669</v>
      </c>
      <c r="F36" s="20">
        <v>0.3611111111111111</v>
      </c>
      <c r="G36" s="20">
        <v>0.375</v>
      </c>
      <c r="H36" s="20">
        <v>0.46875</v>
      </c>
      <c r="I36" s="20">
        <v>0.48958333333333331</v>
      </c>
      <c r="J36" s="20">
        <v>0.52083333333333337</v>
      </c>
      <c r="K36" s="21">
        <f>Tableau44[[#This Row],[Fermeture]]-Tableau44[[#This Row],[Incision]]</f>
        <v>9.375E-2</v>
      </c>
      <c r="L36" s="21">
        <f>Tableau44[[#This Row],[Sortie de salle/ER]]-Tableau44[[#This Row],[Entrée de salle]]</f>
        <v>0.13541666666666663</v>
      </c>
      <c r="M36" s="19">
        <v>1</v>
      </c>
      <c r="N36" s="14"/>
      <c r="O36" s="15">
        <f>Tableau44[[#This Row],[Sortie reveil]]-Tableau44[[#This Row],[Sortie de salle/ER]]</f>
        <v>3.1250000000000056E-2</v>
      </c>
      <c r="P36" s="14"/>
      <c r="Q36" s="14"/>
      <c r="R36" s="14"/>
      <c r="S36" s="14" t="s">
        <v>40</v>
      </c>
      <c r="T36" s="15" t="str">
        <f>IF(Tableau44[[#This Row],[Sortie reveil]]&gt;$L$72,Tableau44[[#This Row],[Sortie reveil]]-$L$72,"")</f>
        <v/>
      </c>
      <c r="U36" s="15" t="str">
        <f>IF(Tableau44[[#This Row],[Sortie de salle/ER]]&gt;$L$73,(Tableau44[[#This Row],[Sortie de salle/ER]]-$L$73),"")</f>
        <v/>
      </c>
      <c r="V36" s="15" t="str">
        <f>IF(AND(Tableau44[[#This Row],[Date  
JJ/MM/AAAA]]=A35,Tableau44[[#This Row],[salle]]=B35),(Tableau44[[#This Row],[Entrée de salle]]-I35),"")</f>
        <v/>
      </c>
      <c r="W36" s="24" t="str">
        <f t="shared" si="0"/>
        <v/>
      </c>
      <c r="X36" s="9" t="str">
        <f t="shared" si="1"/>
        <v>mercredi</v>
      </c>
    </row>
    <row r="37" spans="1:24" x14ac:dyDescent="0.25">
      <c r="A37" s="18">
        <v>42718</v>
      </c>
      <c r="B37" s="19">
        <v>3</v>
      </c>
      <c r="C37" s="19" t="s">
        <v>53</v>
      </c>
      <c r="D37" s="19"/>
      <c r="E37" s="20">
        <v>0.49305555555555558</v>
      </c>
      <c r="F37" s="20">
        <v>0.5</v>
      </c>
      <c r="G37" s="20">
        <v>0.52083333333333337</v>
      </c>
      <c r="H37" s="20">
        <v>0.59027777777777779</v>
      </c>
      <c r="I37" s="20">
        <v>0.60416666666666663</v>
      </c>
      <c r="J37" s="20">
        <v>0.71875</v>
      </c>
      <c r="K37" s="21">
        <f>Tableau44[[#This Row],[Fermeture]]-Tableau44[[#This Row],[Incision]]</f>
        <v>6.944444444444442E-2</v>
      </c>
      <c r="L37" s="21">
        <f>Tableau44[[#This Row],[Sortie de salle/ER]]-Tableau44[[#This Row],[Entrée de salle]]</f>
        <v>0.11111111111111105</v>
      </c>
      <c r="M37" s="19">
        <v>1</v>
      </c>
      <c r="N37" s="14"/>
      <c r="O37" s="15">
        <f>Tableau44[[#This Row],[Sortie reveil]]-Tableau44[[#This Row],[Sortie de salle/ER]]</f>
        <v>0.11458333333333337</v>
      </c>
      <c r="P37" s="14"/>
      <c r="Q37" s="14"/>
      <c r="R37" s="14"/>
      <c r="S37" s="14" t="s">
        <v>40</v>
      </c>
      <c r="T37" s="15" t="str">
        <f>IF(Tableau44[[#This Row],[Sortie reveil]]&gt;$L$72,Tableau44[[#This Row],[Sortie reveil]]-$L$72,"")</f>
        <v/>
      </c>
      <c r="U37" s="15" t="str">
        <f>IF(Tableau44[[#This Row],[Sortie de salle/ER]]&gt;$L$73,(Tableau44[[#This Row],[Sortie de salle/ER]]-$L$73),"")</f>
        <v/>
      </c>
      <c r="V37" s="15">
        <f>IF(AND(Tableau44[[#This Row],[Date  
JJ/MM/AAAA]]=A36,Tableau44[[#This Row],[salle]]=B36),(Tableau44[[#This Row],[Entrée de salle]]-I36),"")</f>
        <v>3.4722222222222654E-3</v>
      </c>
      <c r="W37" s="24" t="str">
        <f t="shared" si="0"/>
        <v/>
      </c>
      <c r="X37" s="9" t="str">
        <f t="shared" si="1"/>
        <v>mercredi</v>
      </c>
    </row>
    <row r="38" spans="1:24" x14ac:dyDescent="0.25">
      <c r="A38" s="10">
        <v>42719</v>
      </c>
      <c r="B38" s="11">
        <v>1</v>
      </c>
      <c r="C38" s="11" t="s">
        <v>54</v>
      </c>
      <c r="D38" s="11"/>
      <c r="E38" s="12">
        <v>0.47222222222222227</v>
      </c>
      <c r="F38" s="12">
        <v>0.47916666666666669</v>
      </c>
      <c r="G38" s="12">
        <v>0.51041666666666663</v>
      </c>
      <c r="H38" s="12">
        <v>0.59375</v>
      </c>
      <c r="I38" s="12">
        <v>0.60763888888888895</v>
      </c>
      <c r="J38" s="12">
        <v>0.65277777777777779</v>
      </c>
      <c r="K38" s="13">
        <f>Tableau44[[#This Row],[Fermeture]]-Tableau44[[#This Row],[Incision]]</f>
        <v>8.333333333333337E-2</v>
      </c>
      <c r="L38" s="13">
        <f>Tableau44[[#This Row],[Sortie de salle/ER]]-Tableau44[[#This Row],[Entrée de salle]]</f>
        <v>0.13541666666666669</v>
      </c>
      <c r="M38" s="11">
        <v>1</v>
      </c>
      <c r="N38" s="14"/>
      <c r="O38" s="15">
        <f>Tableau44[[#This Row],[Sortie reveil]]-Tableau44[[#This Row],[Sortie de salle/ER]]</f>
        <v>4.513888888888884E-2</v>
      </c>
      <c r="P38" s="14"/>
      <c r="Q38" s="14"/>
      <c r="R38" s="14"/>
      <c r="S38" s="14" t="s">
        <v>25</v>
      </c>
      <c r="T38" s="15" t="str">
        <f>IF(Tableau44[[#This Row],[Sortie reveil]]&gt;$L$72,Tableau44[[#This Row],[Sortie reveil]]-$L$72,"")</f>
        <v/>
      </c>
      <c r="U38" s="15" t="str">
        <f>IF(Tableau44[[#This Row],[Sortie de salle/ER]]&gt;$L$73,(Tableau44[[#This Row],[Sortie de salle/ER]]-$L$73),"")</f>
        <v/>
      </c>
      <c r="V38" s="15" t="str">
        <f>IF(AND(Tableau44[[#This Row],[Date  
JJ/MM/AAAA]]=A37,Tableau44[[#This Row],[salle]]=B37),(Tableau44[[#This Row],[Entrée de salle]]-I37),"")</f>
        <v/>
      </c>
      <c r="W38" s="24" t="str">
        <f t="shared" si="0"/>
        <v>jeudi</v>
      </c>
      <c r="X38" s="9" t="str">
        <f t="shared" si="1"/>
        <v>jeudi</v>
      </c>
    </row>
    <row r="39" spans="1:24" x14ac:dyDescent="0.25">
      <c r="A39" s="25">
        <v>42719</v>
      </c>
      <c r="B39" s="26">
        <v>2</v>
      </c>
      <c r="C39" s="26" t="s">
        <v>38</v>
      </c>
      <c r="D39" s="26"/>
      <c r="E39" s="27">
        <v>0.3576388888888889</v>
      </c>
      <c r="F39" s="27">
        <v>0.375</v>
      </c>
      <c r="G39" s="27">
        <v>0.38541666666666669</v>
      </c>
      <c r="H39" s="27">
        <v>0.45833333333333331</v>
      </c>
      <c r="I39" s="27">
        <v>0.46875</v>
      </c>
      <c r="J39" s="27">
        <v>0.50347222222222221</v>
      </c>
      <c r="K39" s="28">
        <f>Tableau44[[#This Row],[Fermeture]]-Tableau44[[#This Row],[Incision]]</f>
        <v>7.291666666666663E-2</v>
      </c>
      <c r="L39" s="28">
        <f>Tableau44[[#This Row],[Sortie de salle/ER]]-Tableau44[[#This Row],[Entrée de salle]]</f>
        <v>0.1111111111111111</v>
      </c>
      <c r="M39" s="26">
        <v>1</v>
      </c>
      <c r="N39" s="14">
        <v>3</v>
      </c>
      <c r="O39" s="15">
        <f>Tableau44[[#This Row],[Sortie reveil]]-Tableau44[[#This Row],[Sortie de salle/ER]]</f>
        <v>3.472222222222221E-2</v>
      </c>
      <c r="P39" s="22">
        <v>0.41319444444444442</v>
      </c>
      <c r="Q39" s="22">
        <v>0.77083333333333337</v>
      </c>
      <c r="R39" s="22"/>
      <c r="S39" s="14" t="s">
        <v>25</v>
      </c>
      <c r="T39" s="15" t="str">
        <f>IF(Tableau44[[#This Row],[Sortie reveil]]&gt;$L$72,Tableau44[[#This Row],[Sortie reveil]]-$L$72,"")</f>
        <v/>
      </c>
      <c r="U39" s="15" t="str">
        <f>IF(Tableau44[[#This Row],[Sortie de salle/ER]]&gt;$L$73,(Tableau44[[#This Row],[Sortie de salle/ER]]-$L$73),"")</f>
        <v/>
      </c>
      <c r="V39" s="15" t="str">
        <f>IF(AND(Tableau44[[#This Row],[Date  
JJ/MM/AAAA]]=A38,Tableau44[[#This Row],[salle]]=B38),(Tableau44[[#This Row],[Entrée de salle]]-I38),"")</f>
        <v/>
      </c>
      <c r="W39" s="24" t="str">
        <f t="shared" si="0"/>
        <v/>
      </c>
      <c r="X39" s="9" t="str">
        <f t="shared" si="1"/>
        <v>jeudi</v>
      </c>
    </row>
    <row r="40" spans="1:24" x14ac:dyDescent="0.25">
      <c r="A40" s="18">
        <v>42719</v>
      </c>
      <c r="B40" s="19">
        <v>3</v>
      </c>
      <c r="C40" s="19" t="s">
        <v>55</v>
      </c>
      <c r="D40" s="19"/>
      <c r="E40" s="20">
        <v>0.42708333333333331</v>
      </c>
      <c r="F40" s="20">
        <v>0.4375</v>
      </c>
      <c r="G40" s="20">
        <v>0.45833333333333331</v>
      </c>
      <c r="H40" s="20">
        <v>0.69791666666666663</v>
      </c>
      <c r="I40" s="20">
        <v>0.71875</v>
      </c>
      <c r="J40" s="20">
        <v>0.77083333333333337</v>
      </c>
      <c r="K40" s="21">
        <f>Tableau44[[#This Row],[Fermeture]]-Tableau44[[#This Row],[Incision]]</f>
        <v>0.23958333333333331</v>
      </c>
      <c r="L40" s="21">
        <f>Tableau44[[#This Row],[Sortie de salle/ER]]-Tableau44[[#This Row],[Entrée de salle]]</f>
        <v>0.29166666666666669</v>
      </c>
      <c r="M40" s="19">
        <v>1</v>
      </c>
      <c r="N40" s="14"/>
      <c r="O40" s="15">
        <f>Tableau44[[#This Row],[Sortie reveil]]-Tableau44[[#This Row],[Sortie de salle/ER]]</f>
        <v>5.208333333333337E-2</v>
      </c>
      <c r="P40" s="14"/>
      <c r="Q40" s="14"/>
      <c r="R40" s="14"/>
      <c r="S40" s="14" t="s">
        <v>25</v>
      </c>
      <c r="T40" s="15" t="str">
        <f>IF(Tableau44[[#This Row],[Sortie reveil]]&gt;$L$72,Tableau44[[#This Row],[Sortie reveil]]-$L$72,"")</f>
        <v/>
      </c>
      <c r="U40" s="15" t="str">
        <f>IF(Tableau44[[#This Row],[Sortie de salle/ER]]&gt;$L$73,(Tableau44[[#This Row],[Sortie de salle/ER]]-$L$73),"")</f>
        <v/>
      </c>
      <c r="V40" s="15" t="str">
        <f>IF(AND(Tableau44[[#This Row],[Date  
JJ/MM/AAAA]]=A39,Tableau44[[#This Row],[salle]]=B39),(Tableau44[[#This Row],[Entrée de salle]]-I39),"")</f>
        <v/>
      </c>
      <c r="W40" s="24" t="str">
        <f t="shared" si="0"/>
        <v/>
      </c>
      <c r="X40" s="9" t="str">
        <f t="shared" si="1"/>
        <v>jeudi</v>
      </c>
    </row>
    <row r="41" spans="1:24" x14ac:dyDescent="0.25">
      <c r="A41" s="10">
        <v>42723</v>
      </c>
      <c r="B41" s="11">
        <v>1</v>
      </c>
      <c r="C41" s="11" t="s">
        <v>56</v>
      </c>
      <c r="D41" s="11"/>
      <c r="E41" s="12">
        <v>0.375</v>
      </c>
      <c r="F41" s="12">
        <v>0.38194444444444442</v>
      </c>
      <c r="G41" s="12">
        <v>0.40625</v>
      </c>
      <c r="H41" s="12">
        <v>0.43402777777777773</v>
      </c>
      <c r="I41" s="12">
        <v>0.44097222222222227</v>
      </c>
      <c r="J41" s="12">
        <v>0.5</v>
      </c>
      <c r="K41" s="13">
        <f>Tableau44[[#This Row],[Fermeture]]-Tableau44[[#This Row],[Incision]]</f>
        <v>2.7777777777777735E-2</v>
      </c>
      <c r="L41" s="13">
        <f>Tableau44[[#This Row],[Sortie de salle/ER]]-Tableau44[[#This Row],[Entrée de salle]]</f>
        <v>6.5972222222222265E-2</v>
      </c>
      <c r="M41" s="11">
        <v>1</v>
      </c>
      <c r="N41" s="14"/>
      <c r="O41" s="15">
        <f>Tableau44[[#This Row],[Sortie reveil]]-Tableau44[[#This Row],[Sortie de salle/ER]]</f>
        <v>5.9027777777777735E-2</v>
      </c>
      <c r="P41" s="14"/>
      <c r="Q41" s="14"/>
      <c r="R41" s="14"/>
      <c r="S41" s="14" t="s">
        <v>30</v>
      </c>
      <c r="T41" s="15" t="str">
        <f>IF(Tableau44[[#This Row],[Sortie reveil]]&gt;$L$72,Tableau44[[#This Row],[Sortie reveil]]-$L$72,"")</f>
        <v/>
      </c>
      <c r="U41" s="15" t="str">
        <f>IF(Tableau44[[#This Row],[Sortie de salle/ER]]&gt;$L$73,(Tableau44[[#This Row],[Sortie de salle/ER]]-$L$73),"")</f>
        <v/>
      </c>
      <c r="V41" s="15" t="str">
        <f>IF(AND(Tableau44[[#This Row],[Date  
JJ/MM/AAAA]]=A40,Tableau44[[#This Row],[salle]]=B40),(Tableau44[[#This Row],[Entrée de salle]]-I40),"")</f>
        <v/>
      </c>
      <c r="W41" s="24" t="str">
        <f t="shared" si="0"/>
        <v>lundi</v>
      </c>
      <c r="X41" s="9" t="str">
        <f t="shared" si="1"/>
        <v>lundi</v>
      </c>
    </row>
    <row r="42" spans="1:24" x14ac:dyDescent="0.25">
      <c r="A42" s="10">
        <v>42723</v>
      </c>
      <c r="B42" s="11">
        <v>1</v>
      </c>
      <c r="C42" s="11" t="s">
        <v>57</v>
      </c>
      <c r="D42" s="11"/>
      <c r="E42" s="12">
        <v>0.45833333333333331</v>
      </c>
      <c r="F42" s="12">
        <v>0.46527777777777773</v>
      </c>
      <c r="G42" s="12">
        <v>0.4826388888888889</v>
      </c>
      <c r="H42" s="12">
        <v>0.54166666666666663</v>
      </c>
      <c r="I42" s="12">
        <v>0.55555555555555558</v>
      </c>
      <c r="J42" s="12">
        <v>0.59375</v>
      </c>
      <c r="K42" s="13">
        <f>Tableau44[[#This Row],[Fermeture]]-Tableau44[[#This Row],[Incision]]</f>
        <v>5.9027777777777735E-2</v>
      </c>
      <c r="L42" s="13">
        <f>Tableau44[[#This Row],[Sortie de salle/ER]]-Tableau44[[#This Row],[Entrée de salle]]</f>
        <v>9.7222222222222265E-2</v>
      </c>
      <c r="M42" s="11">
        <v>1</v>
      </c>
      <c r="N42" s="14"/>
      <c r="O42" s="15">
        <f>Tableau44[[#This Row],[Sortie reveil]]-Tableau44[[#This Row],[Sortie de salle/ER]]</f>
        <v>3.819444444444442E-2</v>
      </c>
      <c r="P42" s="14"/>
      <c r="Q42" s="14"/>
      <c r="R42" s="14"/>
      <c r="S42" s="14" t="s">
        <v>30</v>
      </c>
      <c r="T42" s="15" t="str">
        <f>IF(Tableau44[[#This Row],[Sortie reveil]]&gt;$L$72,Tableau44[[#This Row],[Sortie reveil]]-$L$72,"")</f>
        <v/>
      </c>
      <c r="U42" s="15" t="str">
        <f>IF(Tableau44[[#This Row],[Sortie de salle/ER]]&gt;$L$73,(Tableau44[[#This Row],[Sortie de salle/ER]]-$L$73),"")</f>
        <v/>
      </c>
      <c r="V42" s="15">
        <f>IF(AND(Tableau44[[#This Row],[Date  
JJ/MM/AAAA]]=A41,Tableau44[[#This Row],[salle]]=B41),(Tableau44[[#This Row],[Entrée de salle]]-I41),"")</f>
        <v>1.7361111111111049E-2</v>
      </c>
      <c r="W42" s="24" t="str">
        <f t="shared" si="0"/>
        <v/>
      </c>
      <c r="X42" s="9" t="str">
        <f t="shared" si="1"/>
        <v>lundi</v>
      </c>
    </row>
    <row r="43" spans="1:24" x14ac:dyDescent="0.25">
      <c r="A43" s="10">
        <v>42723</v>
      </c>
      <c r="B43" s="11">
        <v>1</v>
      </c>
      <c r="C43" s="11" t="s">
        <v>58</v>
      </c>
      <c r="D43" s="11"/>
      <c r="E43" s="12">
        <v>0.58680555555555558</v>
      </c>
      <c r="F43" s="12">
        <v>0.60763888888888895</v>
      </c>
      <c r="G43" s="12">
        <v>0.625</v>
      </c>
      <c r="H43" s="12">
        <v>0.76041666666666663</v>
      </c>
      <c r="I43" s="12">
        <v>0.77430555555555547</v>
      </c>
      <c r="J43" s="12">
        <v>0.79861111111111116</v>
      </c>
      <c r="K43" s="13">
        <f>Tableau44[[#This Row],[Fermeture]]-Tableau44[[#This Row],[Incision]]</f>
        <v>0.13541666666666663</v>
      </c>
      <c r="L43" s="13">
        <f>Tableau44[[#This Row],[Sortie de salle/ER]]-Tableau44[[#This Row],[Entrée de salle]]</f>
        <v>0.18749999999999989</v>
      </c>
      <c r="M43" s="11">
        <v>1</v>
      </c>
      <c r="N43" s="14"/>
      <c r="O43" s="15">
        <f>Tableau44[[#This Row],[Sortie reveil]]-Tableau44[[#This Row],[Sortie de salle/ER]]</f>
        <v>2.4305555555555691E-2</v>
      </c>
      <c r="P43" s="14"/>
      <c r="Q43" s="14"/>
      <c r="R43" s="14"/>
      <c r="S43" s="14" t="s">
        <v>30</v>
      </c>
      <c r="T43" s="15" t="str">
        <f>IF(Tableau44[[#This Row],[Sortie reveil]]&gt;$L$72,Tableau44[[#This Row],[Sortie reveil]]-$L$72,"")</f>
        <v/>
      </c>
      <c r="U43" s="15" t="str">
        <f>IF(Tableau44[[#This Row],[Sortie de salle/ER]]&gt;$L$73,(Tableau44[[#This Row],[Sortie de salle/ER]]-$L$73),"")</f>
        <v/>
      </c>
      <c r="V43" s="15">
        <f>IF(AND(Tableau44[[#This Row],[Date  
JJ/MM/AAAA]]=A42,Tableau44[[#This Row],[salle]]=B42),(Tableau44[[#This Row],[Entrée de salle]]-I42),"")</f>
        <v>3.125E-2</v>
      </c>
      <c r="W43" s="24" t="str">
        <f t="shared" si="0"/>
        <v/>
      </c>
      <c r="X43" s="9" t="str">
        <f t="shared" si="1"/>
        <v>lundi</v>
      </c>
    </row>
    <row r="44" spans="1:24" x14ac:dyDescent="0.25">
      <c r="A44" s="25">
        <v>42723</v>
      </c>
      <c r="B44" s="26">
        <v>2</v>
      </c>
      <c r="C44" s="26" t="s">
        <v>36</v>
      </c>
      <c r="D44" s="26"/>
      <c r="E44" s="27">
        <v>0.35416666666666669</v>
      </c>
      <c r="F44" s="27">
        <v>0.3611111111111111</v>
      </c>
      <c r="G44" s="27">
        <v>0.37152777777777773</v>
      </c>
      <c r="H44" s="27">
        <v>0.46180555555555558</v>
      </c>
      <c r="I44" s="27">
        <v>0.47222222222222227</v>
      </c>
      <c r="J44" s="27">
        <v>0.52083333333333337</v>
      </c>
      <c r="K44" s="28">
        <f>Tableau44[[#This Row],[Fermeture]]-Tableau44[[#This Row],[Incision]]</f>
        <v>9.0277777777777846E-2</v>
      </c>
      <c r="L44" s="28">
        <f>Tableau44[[#This Row],[Sortie de salle/ER]]-Tableau44[[#This Row],[Entrée de salle]]</f>
        <v>0.11805555555555558</v>
      </c>
      <c r="M44" s="26">
        <v>1</v>
      </c>
      <c r="N44" s="14"/>
      <c r="O44" s="15">
        <f>Tableau44[[#This Row],[Sortie reveil]]-Tableau44[[#This Row],[Sortie de salle/ER]]</f>
        <v>4.8611111111111105E-2</v>
      </c>
      <c r="P44" s="14"/>
      <c r="Q44" s="14"/>
      <c r="R44" s="14"/>
      <c r="S44" s="14" t="s">
        <v>30</v>
      </c>
      <c r="T44" s="15" t="str">
        <f>IF(Tableau44[[#This Row],[Sortie reveil]]&gt;$L$72,Tableau44[[#This Row],[Sortie reveil]]-$L$72,"")</f>
        <v/>
      </c>
      <c r="U44" s="15" t="str">
        <f>IF(Tableau44[[#This Row],[Sortie de salle/ER]]&gt;$L$73,(Tableau44[[#This Row],[Sortie de salle/ER]]-$L$73),"")</f>
        <v/>
      </c>
      <c r="V44" s="15" t="str">
        <f>IF(AND(Tableau44[[#This Row],[Date  
JJ/MM/AAAA]]=A43,Tableau44[[#This Row],[salle]]=B43),(Tableau44[[#This Row],[Entrée de salle]]-I43),"")</f>
        <v/>
      </c>
      <c r="W44" s="24" t="str">
        <f t="shared" si="0"/>
        <v/>
      </c>
      <c r="X44" s="9" t="str">
        <f t="shared" si="1"/>
        <v>lundi</v>
      </c>
    </row>
    <row r="45" spans="1:24" x14ac:dyDescent="0.25">
      <c r="A45" s="18">
        <v>42723</v>
      </c>
      <c r="B45" s="19">
        <v>3</v>
      </c>
      <c r="C45" s="19" t="s">
        <v>59</v>
      </c>
      <c r="D45" s="19"/>
      <c r="E45" s="20">
        <v>0.3576388888888889</v>
      </c>
      <c r="F45" s="20">
        <v>0.37847222222222227</v>
      </c>
      <c r="G45" s="20">
        <v>0.39583333333333331</v>
      </c>
      <c r="H45" s="20">
        <v>0.42708333333333331</v>
      </c>
      <c r="I45" s="20">
        <v>0.43402777777777773</v>
      </c>
      <c r="J45" s="20">
        <v>0.47916666666666669</v>
      </c>
      <c r="K45" s="21">
        <f>Tableau44[[#This Row],[Fermeture]]-Tableau44[[#This Row],[Incision]]</f>
        <v>3.125E-2</v>
      </c>
      <c r="L45" s="21">
        <f>Tableau44[[#This Row],[Sortie de salle/ER]]-Tableau44[[#This Row],[Entrée de salle]]</f>
        <v>7.638888888888884E-2</v>
      </c>
      <c r="M45" s="19">
        <v>1</v>
      </c>
      <c r="N45" s="14">
        <v>3</v>
      </c>
      <c r="O45" s="15">
        <f>Tableau44[[#This Row],[Sortie reveil]]-Tableau44[[#This Row],[Sortie de salle/ER]]</f>
        <v>4.5138888888888951E-2</v>
      </c>
      <c r="P45" s="22">
        <v>0.44444444444444442</v>
      </c>
      <c r="Q45" s="22">
        <v>0.79861111111111116</v>
      </c>
      <c r="R45" s="22"/>
      <c r="S45" s="14" t="s">
        <v>30</v>
      </c>
      <c r="T45" s="15" t="str">
        <f>IF(Tableau44[[#This Row],[Sortie reveil]]&gt;$L$72,Tableau44[[#This Row],[Sortie reveil]]-$L$72,"")</f>
        <v/>
      </c>
      <c r="U45" s="15" t="str">
        <f>IF(Tableau44[[#This Row],[Sortie de salle/ER]]&gt;$L$73,(Tableau44[[#This Row],[Sortie de salle/ER]]-$L$73),"")</f>
        <v/>
      </c>
      <c r="V45" s="15" t="str">
        <f>IF(AND(Tableau44[[#This Row],[Date  
JJ/MM/AAAA]]=A44,Tableau44[[#This Row],[salle]]=B44),(Tableau44[[#This Row],[Entrée de salle]]-I44),"")</f>
        <v/>
      </c>
      <c r="W45" s="24" t="str">
        <f t="shared" si="0"/>
        <v/>
      </c>
      <c r="X45" s="9" t="str">
        <f t="shared" si="1"/>
        <v>lundi</v>
      </c>
    </row>
    <row r="46" spans="1:24" x14ac:dyDescent="0.25">
      <c r="A46" s="10">
        <v>42724</v>
      </c>
      <c r="B46" s="11">
        <v>1</v>
      </c>
      <c r="C46" s="11" t="s">
        <v>60</v>
      </c>
      <c r="D46" s="11"/>
      <c r="E46" s="12">
        <v>0.34375</v>
      </c>
      <c r="F46" s="12">
        <v>0.3611111111111111</v>
      </c>
      <c r="G46" s="12">
        <v>0.38541666666666669</v>
      </c>
      <c r="H46" s="12">
        <v>0.56597222222222221</v>
      </c>
      <c r="I46" s="12">
        <v>0.57291666666666663</v>
      </c>
      <c r="J46" s="12">
        <v>0.625</v>
      </c>
      <c r="K46" s="13">
        <f>Tableau44[[#This Row],[Fermeture]]-Tableau44[[#This Row],[Incision]]</f>
        <v>0.18055555555555552</v>
      </c>
      <c r="L46" s="13">
        <f>Tableau44[[#This Row],[Sortie de salle/ER]]-Tableau44[[#This Row],[Entrée de salle]]</f>
        <v>0.22916666666666663</v>
      </c>
      <c r="M46" s="11">
        <v>1</v>
      </c>
      <c r="N46" s="14"/>
      <c r="O46" s="15">
        <f>Tableau44[[#This Row],[Sortie reveil]]-Tableau44[[#This Row],[Sortie de salle/ER]]</f>
        <v>5.208333333333337E-2</v>
      </c>
      <c r="P46" s="14"/>
      <c r="Q46" s="14"/>
      <c r="R46" s="14"/>
      <c r="S46" s="14" t="s">
        <v>34</v>
      </c>
      <c r="T46" s="15" t="str">
        <f>IF(Tableau44[[#This Row],[Sortie reveil]]&gt;$L$72,Tableau44[[#This Row],[Sortie reveil]]-$L$72,"")</f>
        <v/>
      </c>
      <c r="U46" s="15" t="str">
        <f>IF(Tableau44[[#This Row],[Sortie de salle/ER]]&gt;$L$73,(Tableau44[[#This Row],[Sortie de salle/ER]]-$L$73),"")</f>
        <v/>
      </c>
      <c r="V46" s="15" t="str">
        <f>IF(AND(Tableau44[[#This Row],[Date  
JJ/MM/AAAA]]=A45,Tableau44[[#This Row],[salle]]=B45),(Tableau44[[#This Row],[Entrée de salle]]-I45),"")</f>
        <v/>
      </c>
      <c r="W46" s="24" t="str">
        <f t="shared" si="0"/>
        <v>mardi</v>
      </c>
      <c r="X46" s="9" t="str">
        <f t="shared" si="1"/>
        <v>mardi</v>
      </c>
    </row>
    <row r="47" spans="1:24" x14ac:dyDescent="0.25">
      <c r="A47" s="10">
        <v>42724</v>
      </c>
      <c r="B47" s="11">
        <v>1</v>
      </c>
      <c r="C47" s="11" t="s">
        <v>61</v>
      </c>
      <c r="D47" s="11"/>
      <c r="E47" s="12">
        <v>0.58333333333333337</v>
      </c>
      <c r="F47" s="12">
        <v>0.59722222222222221</v>
      </c>
      <c r="G47" s="12">
        <v>0.61805555555555558</v>
      </c>
      <c r="H47" s="12">
        <v>0.70833333333333337</v>
      </c>
      <c r="I47" s="12">
        <v>0.71527777777777779</v>
      </c>
      <c r="J47" s="12">
        <v>0.78125</v>
      </c>
      <c r="K47" s="13">
        <f>Tableau44[[#This Row],[Fermeture]]-Tableau44[[#This Row],[Incision]]</f>
        <v>9.027777777777779E-2</v>
      </c>
      <c r="L47" s="13">
        <f>Tableau44[[#This Row],[Sortie de salle/ER]]-Tableau44[[#This Row],[Entrée de salle]]</f>
        <v>0.13194444444444442</v>
      </c>
      <c r="M47" s="11">
        <v>1</v>
      </c>
      <c r="N47" s="14"/>
      <c r="O47" s="15">
        <f>Tableau44[[#This Row],[Sortie reveil]]-Tableau44[[#This Row],[Sortie de salle/ER]]</f>
        <v>6.597222222222221E-2</v>
      </c>
      <c r="P47" s="14"/>
      <c r="Q47" s="14"/>
      <c r="R47" s="14"/>
      <c r="S47" s="14" t="s">
        <v>34</v>
      </c>
      <c r="T47" s="15" t="str">
        <f>IF(Tableau44[[#This Row],[Sortie reveil]]&gt;$L$72,Tableau44[[#This Row],[Sortie reveil]]-$L$72,"")</f>
        <v/>
      </c>
      <c r="U47" s="15" t="str">
        <f>IF(Tableau44[[#This Row],[Sortie de salle/ER]]&gt;$L$73,(Tableau44[[#This Row],[Sortie de salle/ER]]-$L$73),"")</f>
        <v/>
      </c>
      <c r="V47" s="15">
        <f>IF(AND(Tableau44[[#This Row],[Date  
JJ/MM/AAAA]]=A46,Tableau44[[#This Row],[salle]]=B46),(Tableau44[[#This Row],[Entrée de salle]]-I46),"")</f>
        <v>1.0416666666666741E-2</v>
      </c>
      <c r="W47" s="24" t="str">
        <f t="shared" si="0"/>
        <v/>
      </c>
      <c r="X47" s="9" t="str">
        <f t="shared" si="1"/>
        <v>mardi</v>
      </c>
    </row>
    <row r="48" spans="1:24" x14ac:dyDescent="0.25">
      <c r="A48" s="25">
        <v>42724</v>
      </c>
      <c r="B48" s="26">
        <v>2</v>
      </c>
      <c r="C48" s="26" t="s">
        <v>62</v>
      </c>
      <c r="D48" s="26"/>
      <c r="E48" s="27">
        <v>0.3576388888888889</v>
      </c>
      <c r="F48" s="27">
        <v>0.37847222222222227</v>
      </c>
      <c r="G48" s="27">
        <v>0.39583333333333331</v>
      </c>
      <c r="H48" s="27">
        <v>0.47222222222222227</v>
      </c>
      <c r="I48" s="27">
        <v>0.48958333333333331</v>
      </c>
      <c r="J48" s="27">
        <v>0.53125</v>
      </c>
      <c r="K48" s="28">
        <f>Tableau44[[#This Row],[Fermeture]]-Tableau44[[#This Row],[Incision]]</f>
        <v>7.6388888888888951E-2</v>
      </c>
      <c r="L48" s="28">
        <f>Tableau44[[#This Row],[Sortie de salle/ER]]-Tableau44[[#This Row],[Entrée de salle]]</f>
        <v>0.13194444444444442</v>
      </c>
      <c r="M48" s="26">
        <v>1</v>
      </c>
      <c r="N48" s="14"/>
      <c r="O48" s="15">
        <f>Tableau44[[#This Row],[Sortie reveil]]-Tableau44[[#This Row],[Sortie de salle/ER]]</f>
        <v>4.1666666666666685E-2</v>
      </c>
      <c r="P48" s="14"/>
      <c r="Q48" s="14"/>
      <c r="R48" s="14"/>
      <c r="S48" s="14" t="s">
        <v>34</v>
      </c>
      <c r="T48" s="15" t="str">
        <f>IF(Tableau44[[#This Row],[Sortie reveil]]&gt;$L$72,Tableau44[[#This Row],[Sortie reveil]]-$L$72,"")</f>
        <v/>
      </c>
      <c r="U48" s="15" t="str">
        <f>IF(Tableau44[[#This Row],[Sortie de salle/ER]]&gt;$L$73,(Tableau44[[#This Row],[Sortie de salle/ER]]-$L$73),"")</f>
        <v/>
      </c>
      <c r="V48" s="15" t="str">
        <f>IF(AND(Tableau44[[#This Row],[Date  
JJ/MM/AAAA]]=A47,Tableau44[[#This Row],[salle]]=B47),(Tableau44[[#This Row],[Entrée de salle]]-I47),"")</f>
        <v/>
      </c>
      <c r="W48" s="24" t="str">
        <f t="shared" si="0"/>
        <v/>
      </c>
      <c r="X48" s="9" t="str">
        <f t="shared" si="1"/>
        <v>mardi</v>
      </c>
    </row>
    <row r="49" spans="1:24" x14ac:dyDescent="0.25">
      <c r="A49" s="25">
        <v>42724</v>
      </c>
      <c r="B49" s="26">
        <v>2</v>
      </c>
      <c r="C49" s="26" t="s">
        <v>63</v>
      </c>
      <c r="D49" s="26"/>
      <c r="E49" s="27">
        <v>0.50694444444444442</v>
      </c>
      <c r="F49" s="27">
        <v>0.52083333333333337</v>
      </c>
      <c r="G49" s="27">
        <v>0.53819444444444442</v>
      </c>
      <c r="H49" s="27">
        <v>0.72569444444444453</v>
      </c>
      <c r="I49" s="27">
        <v>0.73263888888888884</v>
      </c>
      <c r="J49" s="27">
        <v>0.79861111111111116</v>
      </c>
      <c r="K49" s="28">
        <f>Tableau44[[#This Row],[Fermeture]]-Tableau44[[#This Row],[Incision]]</f>
        <v>0.18750000000000011</v>
      </c>
      <c r="L49" s="28">
        <f>Tableau44[[#This Row],[Sortie de salle/ER]]-Tableau44[[#This Row],[Entrée de salle]]</f>
        <v>0.22569444444444442</v>
      </c>
      <c r="M49" s="26">
        <v>1</v>
      </c>
      <c r="N49" s="14"/>
      <c r="O49" s="15">
        <f>Tableau44[[#This Row],[Sortie reveil]]-Tableau44[[#This Row],[Sortie de salle/ER]]</f>
        <v>6.5972222222222321E-2</v>
      </c>
      <c r="P49" s="14"/>
      <c r="Q49" s="14"/>
      <c r="R49" s="14"/>
      <c r="S49" s="14" t="s">
        <v>34</v>
      </c>
      <c r="T49" s="15" t="str">
        <f>IF(Tableau44[[#This Row],[Sortie reveil]]&gt;$L$72,Tableau44[[#This Row],[Sortie reveil]]-$L$72,"")</f>
        <v/>
      </c>
      <c r="U49" s="15" t="str">
        <f>IF(Tableau44[[#This Row],[Sortie de salle/ER]]&gt;$L$73,(Tableau44[[#This Row],[Sortie de salle/ER]]-$L$73),"")</f>
        <v/>
      </c>
      <c r="V49" s="15">
        <f>IF(AND(Tableau44[[#This Row],[Date  
JJ/MM/AAAA]]=A48,Tableau44[[#This Row],[salle]]=B48),(Tableau44[[#This Row],[Entrée de salle]]-I48),"")</f>
        <v>1.7361111111111105E-2</v>
      </c>
      <c r="W49" s="24" t="str">
        <f t="shared" si="0"/>
        <v/>
      </c>
      <c r="X49" s="9" t="str">
        <f t="shared" si="1"/>
        <v>mardi</v>
      </c>
    </row>
    <row r="50" spans="1:24" x14ac:dyDescent="0.25">
      <c r="A50" s="18">
        <v>42724</v>
      </c>
      <c r="B50" s="19">
        <v>3</v>
      </c>
      <c r="C50" s="19" t="s">
        <v>62</v>
      </c>
      <c r="D50" s="19"/>
      <c r="E50" s="20">
        <v>0.34027777777777773</v>
      </c>
      <c r="F50" s="20">
        <v>0.34722222222222227</v>
      </c>
      <c r="G50" s="20">
        <v>0.35416666666666669</v>
      </c>
      <c r="H50" s="20">
        <v>0.41666666666666669</v>
      </c>
      <c r="I50" s="20">
        <v>0.42708333333333331</v>
      </c>
      <c r="J50" s="20">
        <v>0.46875</v>
      </c>
      <c r="K50" s="21">
        <f>Tableau44[[#This Row],[Fermeture]]-Tableau44[[#This Row],[Incision]]</f>
        <v>6.25E-2</v>
      </c>
      <c r="L50" s="21">
        <f>Tableau44[[#This Row],[Sortie de salle/ER]]-Tableau44[[#This Row],[Entrée de salle]]</f>
        <v>8.680555555555558E-2</v>
      </c>
      <c r="M50" s="19">
        <v>1</v>
      </c>
      <c r="N50" s="14">
        <v>3</v>
      </c>
      <c r="O50" s="15">
        <f>Tableau44[[#This Row],[Sortie reveil]]-Tableau44[[#This Row],[Sortie de salle/ER]]</f>
        <v>4.1666666666666685E-2</v>
      </c>
      <c r="P50" s="22">
        <v>0.51041666666666663</v>
      </c>
      <c r="Q50" s="22">
        <v>0.85069444444444453</v>
      </c>
      <c r="R50" s="22"/>
      <c r="S50" s="14" t="s">
        <v>34</v>
      </c>
      <c r="T50" s="15" t="str">
        <f>IF(Tableau44[[#This Row],[Sortie reveil]]&gt;$L$72,Tableau44[[#This Row],[Sortie reveil]]-$L$72,"")</f>
        <v/>
      </c>
      <c r="U50" s="15" t="str">
        <f>IF(Tableau44[[#This Row],[Sortie de salle/ER]]&gt;$L$73,(Tableau44[[#This Row],[Sortie de salle/ER]]-$L$73),"")</f>
        <v/>
      </c>
      <c r="V50" s="15" t="str">
        <f>IF(AND(Tableau44[[#This Row],[Date  
JJ/MM/AAAA]]=A49,Tableau44[[#This Row],[salle]]=B49),(Tableau44[[#This Row],[Entrée de salle]]-I49),"")</f>
        <v/>
      </c>
      <c r="W50" s="24" t="str">
        <f t="shared" si="0"/>
        <v/>
      </c>
      <c r="X50" s="9" t="str">
        <f t="shared" si="1"/>
        <v>mardi</v>
      </c>
    </row>
    <row r="51" spans="1:24" x14ac:dyDescent="0.25">
      <c r="A51" s="18">
        <v>42724</v>
      </c>
      <c r="B51" s="19">
        <v>3</v>
      </c>
      <c r="C51" s="19" t="s">
        <v>29</v>
      </c>
      <c r="D51" s="19"/>
      <c r="E51" s="20">
        <v>0.43402777777777773</v>
      </c>
      <c r="F51" s="20">
        <v>0.44097222222222227</v>
      </c>
      <c r="G51" s="20">
        <v>0.4548611111111111</v>
      </c>
      <c r="H51" s="20">
        <v>0.50694444444444442</v>
      </c>
      <c r="I51" s="20">
        <v>0.51736111111111105</v>
      </c>
      <c r="J51" s="20">
        <v>0.54166666666666663</v>
      </c>
      <c r="K51" s="21">
        <f>Tableau44[[#This Row],[Fermeture]]-Tableau44[[#This Row],[Incision]]</f>
        <v>5.2083333333333315E-2</v>
      </c>
      <c r="L51" s="21">
        <f>Tableau44[[#This Row],[Sortie de salle/ER]]-Tableau44[[#This Row],[Entrée de salle]]</f>
        <v>8.3333333333333315E-2</v>
      </c>
      <c r="M51" s="19">
        <v>1</v>
      </c>
      <c r="N51" s="14"/>
      <c r="O51" s="15">
        <f>Tableau44[[#This Row],[Sortie reveil]]-Tableau44[[#This Row],[Sortie de salle/ER]]</f>
        <v>2.430555555555558E-2</v>
      </c>
      <c r="P51" s="14"/>
      <c r="Q51" s="14"/>
      <c r="R51" s="14"/>
      <c r="S51" s="14" t="s">
        <v>34</v>
      </c>
      <c r="T51" s="15" t="str">
        <f>IF(Tableau44[[#This Row],[Sortie reveil]]&gt;$L$72,Tableau44[[#This Row],[Sortie reveil]]-$L$72,"")</f>
        <v/>
      </c>
      <c r="U51" s="15" t="str">
        <f>IF(Tableau44[[#This Row],[Sortie de salle/ER]]&gt;$L$73,(Tableau44[[#This Row],[Sortie de salle/ER]]-$L$73),"")</f>
        <v/>
      </c>
      <c r="V51" s="15">
        <f>IF(AND(Tableau44[[#This Row],[Date  
JJ/MM/AAAA]]=A50,Tableau44[[#This Row],[salle]]=B50),(Tableau44[[#This Row],[Entrée de salle]]-I50),"")</f>
        <v>6.9444444444444198E-3</v>
      </c>
      <c r="W51" s="24" t="str">
        <f t="shared" si="0"/>
        <v/>
      </c>
      <c r="X51" s="9" t="str">
        <f t="shared" si="1"/>
        <v>mardi</v>
      </c>
    </row>
    <row r="52" spans="1:24" x14ac:dyDescent="0.25">
      <c r="A52" s="18">
        <v>42724</v>
      </c>
      <c r="B52" s="19">
        <v>3</v>
      </c>
      <c r="C52" s="19" t="s">
        <v>64</v>
      </c>
      <c r="D52" s="19"/>
      <c r="E52" s="20">
        <v>0.52430555555555558</v>
      </c>
      <c r="F52" s="20">
        <v>0.53125</v>
      </c>
      <c r="G52" s="20">
        <v>0.54861111111111105</v>
      </c>
      <c r="H52" s="20">
        <v>0.63888888888888895</v>
      </c>
      <c r="I52" s="20">
        <v>0.65625</v>
      </c>
      <c r="J52" s="20">
        <v>0.70486111111111116</v>
      </c>
      <c r="K52" s="21">
        <f>Tableau44[[#This Row],[Fermeture]]-Tableau44[[#This Row],[Incision]]</f>
        <v>9.0277777777777901E-2</v>
      </c>
      <c r="L52" s="21">
        <f>Tableau44[[#This Row],[Sortie de salle/ER]]-Tableau44[[#This Row],[Entrée de salle]]</f>
        <v>0.13194444444444442</v>
      </c>
      <c r="M52" s="19">
        <v>1</v>
      </c>
      <c r="N52" s="14"/>
      <c r="O52" s="15">
        <f>Tableau44[[#This Row],[Sortie reveil]]-Tableau44[[#This Row],[Sortie de salle/ER]]</f>
        <v>4.861111111111116E-2</v>
      </c>
      <c r="P52" s="14"/>
      <c r="Q52" s="14"/>
      <c r="R52" s="14"/>
      <c r="S52" s="14" t="s">
        <v>34</v>
      </c>
      <c r="T52" s="15" t="str">
        <f>IF(Tableau44[[#This Row],[Sortie reveil]]&gt;$L$72,Tableau44[[#This Row],[Sortie reveil]]-$L$72,"")</f>
        <v/>
      </c>
      <c r="U52" s="15" t="str">
        <f>IF(Tableau44[[#This Row],[Sortie de salle/ER]]&gt;$L$73,(Tableau44[[#This Row],[Sortie de salle/ER]]-$L$73),"")</f>
        <v/>
      </c>
      <c r="V52" s="15">
        <f>IF(AND(Tableau44[[#This Row],[Date  
JJ/MM/AAAA]]=A51,Tableau44[[#This Row],[salle]]=B51),(Tableau44[[#This Row],[Entrée de salle]]-I51),"")</f>
        <v>6.9444444444445308E-3</v>
      </c>
      <c r="W52" s="24" t="str">
        <f t="shared" si="0"/>
        <v/>
      </c>
      <c r="X52" s="9" t="str">
        <f t="shared" si="1"/>
        <v>mardi</v>
      </c>
    </row>
    <row r="53" spans="1:24" x14ac:dyDescent="0.25">
      <c r="A53" s="18">
        <v>42724</v>
      </c>
      <c r="B53" s="19">
        <v>3</v>
      </c>
      <c r="C53" s="19" t="s">
        <v>65</v>
      </c>
      <c r="D53" s="19"/>
      <c r="E53" s="20">
        <v>0.70138888888888884</v>
      </c>
      <c r="F53" s="20">
        <v>0.71527777777777779</v>
      </c>
      <c r="G53" s="20">
        <v>0.73611111111111116</v>
      </c>
      <c r="H53" s="20">
        <v>0.81944444444444453</v>
      </c>
      <c r="I53" s="20">
        <v>0.82638888888888884</v>
      </c>
      <c r="J53" s="20">
        <v>0.85069444444444453</v>
      </c>
      <c r="K53" s="21">
        <f>Tableau44[[#This Row],[Fermeture]]-Tableau44[[#This Row],[Incision]]</f>
        <v>8.333333333333337E-2</v>
      </c>
      <c r="L53" s="21">
        <f>Tableau44[[#This Row],[Sortie de salle/ER]]-Tableau44[[#This Row],[Entrée de salle]]</f>
        <v>0.125</v>
      </c>
      <c r="M53" s="19">
        <v>1</v>
      </c>
      <c r="N53" s="14"/>
      <c r="O53" s="15">
        <f>Tableau44[[#This Row],[Sortie reveil]]-Tableau44[[#This Row],[Sortie de salle/ER]]</f>
        <v>2.4305555555555691E-2</v>
      </c>
      <c r="P53" s="14"/>
      <c r="Q53" s="14"/>
      <c r="R53" s="14"/>
      <c r="S53" s="14" t="s">
        <v>34</v>
      </c>
      <c r="T53" s="15">
        <f>IF(Tableau44[[#This Row],[Sortie reveil]]&gt;$L$72,Tableau44[[#This Row],[Sortie reveil]]-$L$72,"")</f>
        <v>2.7777777777777901E-2</v>
      </c>
      <c r="U53" s="15">
        <f>IF(Tableau44[[#This Row],[Sortie de salle/ER]]&gt;$L$73,(Tableau44[[#This Row],[Sortie de salle/ER]]-$L$73),"")</f>
        <v>2.4305555555555469E-2</v>
      </c>
      <c r="V53" s="15">
        <f>IF(AND(Tableau44[[#This Row],[Date  
JJ/MM/AAAA]]=A52,Tableau44[[#This Row],[salle]]=B52),(Tableau44[[#This Row],[Entrée de salle]]-I52),"")</f>
        <v>4.513888888888884E-2</v>
      </c>
      <c r="W53" s="24" t="str">
        <f t="shared" si="0"/>
        <v/>
      </c>
      <c r="X53" s="9" t="str">
        <f t="shared" si="1"/>
        <v>mardi</v>
      </c>
    </row>
    <row r="54" spans="1:24" x14ac:dyDescent="0.25">
      <c r="A54" s="10">
        <v>42725</v>
      </c>
      <c r="B54" s="11">
        <v>1</v>
      </c>
      <c r="C54" s="11" t="s">
        <v>50</v>
      </c>
      <c r="D54" s="11"/>
      <c r="E54" s="12">
        <v>0.35416666666666669</v>
      </c>
      <c r="F54" s="12">
        <v>0.36458333333333331</v>
      </c>
      <c r="G54" s="12">
        <v>0.38541666666666669</v>
      </c>
      <c r="H54" s="12">
        <v>0.4548611111111111</v>
      </c>
      <c r="I54" s="12">
        <v>0.46180555555555558</v>
      </c>
      <c r="J54" s="12">
        <v>0.52083333333333337</v>
      </c>
      <c r="K54" s="13">
        <f>Tableau44[[#This Row],[Fermeture]]-Tableau44[[#This Row],[Incision]]</f>
        <v>6.944444444444442E-2</v>
      </c>
      <c r="L54" s="13">
        <f>Tableau44[[#This Row],[Sortie de salle/ER]]-Tableau44[[#This Row],[Entrée de salle]]</f>
        <v>0.1076388888888889</v>
      </c>
      <c r="M54" s="11">
        <v>1</v>
      </c>
      <c r="N54" s="14">
        <v>3</v>
      </c>
      <c r="O54" s="15">
        <f>Tableau44[[#This Row],[Sortie reveil]]-Tableau44[[#This Row],[Sortie de salle/ER]]</f>
        <v>5.902777777777779E-2</v>
      </c>
      <c r="P54" s="22">
        <v>0.37152777777777773</v>
      </c>
      <c r="Q54" s="22">
        <v>0.72569444444444453</v>
      </c>
      <c r="R54" s="22"/>
      <c r="S54" s="14" t="s">
        <v>40</v>
      </c>
      <c r="T54" s="15" t="str">
        <f>IF(Tableau44[[#This Row],[Sortie reveil]]&gt;$L$72,Tableau44[[#This Row],[Sortie reveil]]-$L$72,"")</f>
        <v/>
      </c>
      <c r="U54" s="15" t="str">
        <f>IF(Tableau44[[#This Row],[Sortie de salle/ER]]&gt;$L$73,(Tableau44[[#This Row],[Sortie de salle/ER]]-$L$73),"")</f>
        <v/>
      </c>
      <c r="V54" s="15" t="str">
        <f>IF(AND(Tableau44[[#This Row],[Date  
JJ/MM/AAAA]]=A53,Tableau44[[#This Row],[salle]]=B53),(Tableau44[[#This Row],[Entrée de salle]]-I53),"")</f>
        <v/>
      </c>
      <c r="W54" s="24" t="str">
        <f t="shared" si="0"/>
        <v>mercredi</v>
      </c>
      <c r="X54" s="9" t="str">
        <f t="shared" si="1"/>
        <v>mercredi</v>
      </c>
    </row>
    <row r="55" spans="1:24" x14ac:dyDescent="0.25">
      <c r="A55" s="10">
        <v>42725</v>
      </c>
      <c r="B55" s="11">
        <v>1</v>
      </c>
      <c r="C55" s="11" t="s">
        <v>66</v>
      </c>
      <c r="D55" s="11"/>
      <c r="E55" s="12">
        <v>0.56944444444444442</v>
      </c>
      <c r="F55" s="12">
        <v>0.57638888888888895</v>
      </c>
      <c r="G55" s="12">
        <v>0.58333333333333337</v>
      </c>
      <c r="H55" s="12">
        <v>0.59027777777777779</v>
      </c>
      <c r="I55" s="12">
        <v>0.59722222222222221</v>
      </c>
      <c r="J55" s="12">
        <v>0.63194444444444442</v>
      </c>
      <c r="K55" s="13">
        <f>Tableau44[[#This Row],[Fermeture]]-Tableau44[[#This Row],[Incision]]</f>
        <v>6.9444444444444198E-3</v>
      </c>
      <c r="L55" s="13">
        <f>Tableau44[[#This Row],[Sortie de salle/ER]]-Tableau44[[#This Row],[Entrée de salle]]</f>
        <v>2.777777777777779E-2</v>
      </c>
      <c r="M55" s="11">
        <v>1</v>
      </c>
      <c r="N55" s="14"/>
      <c r="O55" s="15">
        <f>Tableau44[[#This Row],[Sortie reveil]]-Tableau44[[#This Row],[Sortie de salle/ER]]</f>
        <v>3.472222222222221E-2</v>
      </c>
      <c r="P55" s="14"/>
      <c r="Q55" s="14"/>
      <c r="R55" s="14"/>
      <c r="S55" s="14" t="s">
        <v>40</v>
      </c>
      <c r="T55" s="15" t="str">
        <f>IF(Tableau44[[#This Row],[Sortie reveil]]&gt;$L$72,Tableau44[[#This Row],[Sortie reveil]]-$L$72,"")</f>
        <v/>
      </c>
      <c r="U55" s="15" t="str">
        <f>IF(Tableau44[[#This Row],[Sortie de salle/ER]]&gt;$L$73,(Tableau44[[#This Row],[Sortie de salle/ER]]-$L$73),"")</f>
        <v/>
      </c>
      <c r="V55" s="15">
        <f>IF(AND(Tableau44[[#This Row],[Date  
JJ/MM/AAAA]]=A54,Tableau44[[#This Row],[salle]]=B54),(Tableau44[[#This Row],[Entrée de salle]]-I54),"")</f>
        <v>0.10763888888888884</v>
      </c>
      <c r="W55" s="24" t="str">
        <f t="shared" si="0"/>
        <v/>
      </c>
      <c r="X55" s="9" t="str">
        <f t="shared" si="1"/>
        <v>mercredi</v>
      </c>
    </row>
    <row r="56" spans="1:24" x14ac:dyDescent="0.25">
      <c r="A56" s="25">
        <v>42725</v>
      </c>
      <c r="B56" s="26">
        <v>2</v>
      </c>
      <c r="C56" s="26" t="s">
        <v>35</v>
      </c>
      <c r="D56" s="26"/>
      <c r="E56" s="27">
        <v>0.35416666666666669</v>
      </c>
      <c r="F56" s="27">
        <v>0.37152777777777773</v>
      </c>
      <c r="G56" s="27">
        <v>0.38194444444444442</v>
      </c>
      <c r="H56" s="27">
        <v>0.48958333333333331</v>
      </c>
      <c r="I56" s="27">
        <v>0.5</v>
      </c>
      <c r="J56" s="27">
        <v>0.54513888888888895</v>
      </c>
      <c r="K56" s="28">
        <f>Tableau44[[#This Row],[Fermeture]]-Tableau44[[#This Row],[Incision]]</f>
        <v>0.1076388888888889</v>
      </c>
      <c r="L56" s="28">
        <f>Tableau44[[#This Row],[Sortie de salle/ER]]-Tableau44[[#This Row],[Entrée de salle]]</f>
        <v>0.14583333333333331</v>
      </c>
      <c r="M56" s="26">
        <v>1</v>
      </c>
      <c r="N56" s="14"/>
      <c r="O56" s="15">
        <f>Tableau44[[#This Row],[Sortie reveil]]-Tableau44[[#This Row],[Sortie de salle/ER]]</f>
        <v>4.5138888888888951E-2</v>
      </c>
      <c r="P56" s="14"/>
      <c r="Q56" s="14"/>
      <c r="R56" s="14"/>
      <c r="S56" s="14" t="s">
        <v>40</v>
      </c>
      <c r="T56" s="15" t="str">
        <f>IF(Tableau44[[#This Row],[Sortie reveil]]&gt;$L$72,Tableau44[[#This Row],[Sortie reveil]]-$L$72,"")</f>
        <v/>
      </c>
      <c r="U56" s="15" t="str">
        <f>IF(Tableau44[[#This Row],[Sortie de salle/ER]]&gt;$L$73,(Tableau44[[#This Row],[Sortie de salle/ER]]-$L$73),"")</f>
        <v/>
      </c>
      <c r="V56" s="15" t="str">
        <f>IF(AND(Tableau44[[#This Row],[Date  
JJ/MM/AAAA]]=A55,Tableau44[[#This Row],[salle]]=B55),(Tableau44[[#This Row],[Entrée de salle]]-I55),"")</f>
        <v/>
      </c>
      <c r="W56" s="24" t="str">
        <f t="shared" si="0"/>
        <v/>
      </c>
      <c r="X56" s="9" t="str">
        <f t="shared" si="1"/>
        <v>mercredi</v>
      </c>
    </row>
    <row r="57" spans="1:24" x14ac:dyDescent="0.25">
      <c r="A57" s="25">
        <v>42725</v>
      </c>
      <c r="B57" s="26">
        <v>2</v>
      </c>
      <c r="C57" s="26" t="s">
        <v>67</v>
      </c>
      <c r="D57" s="26"/>
      <c r="E57" s="27">
        <v>0.63541666666666663</v>
      </c>
      <c r="F57" s="27">
        <v>0.65625</v>
      </c>
      <c r="G57" s="27">
        <v>0.67361111111111116</v>
      </c>
      <c r="H57" s="27">
        <v>0.6875</v>
      </c>
      <c r="I57" s="27">
        <v>0.69444444444444453</v>
      </c>
      <c r="J57" s="27">
        <v>0.72569444444444453</v>
      </c>
      <c r="K57" s="28">
        <f>Tableau44[[#This Row],[Fermeture]]-Tableau44[[#This Row],[Incision]]</f>
        <v>1.388888888888884E-2</v>
      </c>
      <c r="L57" s="28">
        <f>Tableau44[[#This Row],[Sortie de salle/ER]]-Tableau44[[#This Row],[Entrée de salle]]</f>
        <v>5.9027777777777901E-2</v>
      </c>
      <c r="M57" s="26">
        <v>1</v>
      </c>
      <c r="N57" s="14"/>
      <c r="O57" s="15">
        <f>Tableau44[[#This Row],[Sortie reveil]]-Tableau44[[#This Row],[Sortie de salle/ER]]</f>
        <v>3.125E-2</v>
      </c>
      <c r="P57" s="14"/>
      <c r="Q57" s="14"/>
      <c r="R57" s="14"/>
      <c r="S57" s="14" t="s">
        <v>40</v>
      </c>
      <c r="T57" s="15" t="str">
        <f>IF(Tableau44[[#This Row],[Sortie reveil]]&gt;$L$72,Tableau44[[#This Row],[Sortie reveil]]-$L$72,"")</f>
        <v/>
      </c>
      <c r="U57" s="15" t="str">
        <f>IF(Tableau44[[#This Row],[Sortie de salle/ER]]&gt;$L$73,(Tableau44[[#This Row],[Sortie de salle/ER]]-$L$73),"")</f>
        <v/>
      </c>
      <c r="V57" s="15">
        <f>IF(AND(Tableau44[[#This Row],[Date  
JJ/MM/AAAA]]=A56,Tableau44[[#This Row],[salle]]=B56),(Tableau44[[#This Row],[Entrée de salle]]-I56),"")</f>
        <v>0.13541666666666663</v>
      </c>
      <c r="W57" s="24" t="str">
        <f t="shared" si="0"/>
        <v/>
      </c>
      <c r="X57" s="9" t="str">
        <f t="shared" si="1"/>
        <v>mercredi</v>
      </c>
    </row>
    <row r="58" spans="1:24" x14ac:dyDescent="0.25">
      <c r="A58" s="18">
        <v>42725</v>
      </c>
      <c r="B58" s="19">
        <v>3</v>
      </c>
      <c r="C58" s="19" t="s">
        <v>68</v>
      </c>
      <c r="D58" s="19"/>
      <c r="E58" s="20">
        <v>0.4548611111111111</v>
      </c>
      <c r="F58" s="20">
        <v>0.48958333333333331</v>
      </c>
      <c r="G58" s="20">
        <v>0.50347222222222221</v>
      </c>
      <c r="H58" s="20">
        <v>0.5625</v>
      </c>
      <c r="I58" s="20">
        <v>0.57986111111111105</v>
      </c>
      <c r="J58" s="20">
        <v>0.61111111111111105</v>
      </c>
      <c r="K58" s="21">
        <f>Tableau44[[#This Row],[Fermeture]]-Tableau44[[#This Row],[Incision]]</f>
        <v>5.902777777777779E-2</v>
      </c>
      <c r="L58" s="21">
        <f>Tableau44[[#This Row],[Sortie de salle/ER]]-Tableau44[[#This Row],[Entrée de salle]]</f>
        <v>0.12499999999999994</v>
      </c>
      <c r="M58" s="19">
        <v>1</v>
      </c>
      <c r="N58" s="14"/>
      <c r="O58" s="15">
        <f>Tableau44[[#This Row],[Sortie reveil]]-Tableau44[[#This Row],[Sortie de salle/ER]]</f>
        <v>3.125E-2</v>
      </c>
      <c r="P58" s="14"/>
      <c r="Q58" s="14"/>
      <c r="R58" s="14"/>
      <c r="S58" s="14" t="s">
        <v>40</v>
      </c>
      <c r="T58" s="15" t="str">
        <f>IF(Tableau44[[#This Row],[Sortie reveil]]&gt;$L$72,Tableau44[[#This Row],[Sortie reveil]]-$L$72,"")</f>
        <v/>
      </c>
      <c r="U58" s="15" t="str">
        <f>IF(Tableau44[[#This Row],[Sortie de salle/ER]]&gt;$L$73,(Tableau44[[#This Row],[Sortie de salle/ER]]-$L$73),"")</f>
        <v/>
      </c>
      <c r="V58" s="15" t="str">
        <f>IF(AND(Tableau44[[#This Row],[Date  
JJ/MM/AAAA]]=A57,Tableau44[[#This Row],[salle]]=B57),(Tableau44[[#This Row],[Entrée de salle]]-I57),"")</f>
        <v/>
      </c>
      <c r="W58" s="24" t="str">
        <f t="shared" si="0"/>
        <v/>
      </c>
      <c r="X58" s="9" t="str">
        <f t="shared" si="1"/>
        <v>mercredi</v>
      </c>
    </row>
    <row r="59" spans="1:24" x14ac:dyDescent="0.25">
      <c r="A59" s="10">
        <v>42726</v>
      </c>
      <c r="B59" s="11">
        <v>1</v>
      </c>
      <c r="C59" s="11" t="s">
        <v>69</v>
      </c>
      <c r="D59" s="11"/>
      <c r="E59" s="12">
        <v>0.39583333333333331</v>
      </c>
      <c r="F59" s="12">
        <v>0.40277777777777773</v>
      </c>
      <c r="G59" s="12">
        <v>0.40972222222222227</v>
      </c>
      <c r="H59" s="12">
        <v>0.41666666666666669</v>
      </c>
      <c r="I59" s="12">
        <v>0.4236111111111111</v>
      </c>
      <c r="J59" s="12">
        <v>0.4236111111111111</v>
      </c>
      <c r="K59" s="13">
        <f>Tableau44[[#This Row],[Fermeture]]-Tableau44[[#This Row],[Incision]]</f>
        <v>6.9444444444444198E-3</v>
      </c>
      <c r="L59" s="13">
        <f>Tableau44[[#This Row],[Sortie de salle/ER]]-Tableau44[[#This Row],[Entrée de salle]]</f>
        <v>2.777777777777779E-2</v>
      </c>
      <c r="M59" s="11">
        <v>1</v>
      </c>
      <c r="N59" s="14"/>
      <c r="O59" s="15">
        <f>Tableau44[[#This Row],[Sortie reveil]]-Tableau44[[#This Row],[Sortie de salle/ER]]</f>
        <v>0</v>
      </c>
      <c r="P59" s="14"/>
      <c r="Q59" s="14"/>
      <c r="R59" s="14"/>
      <c r="S59" s="14" t="s">
        <v>25</v>
      </c>
      <c r="T59" s="15" t="str">
        <f>IF(Tableau44[[#This Row],[Sortie reveil]]&gt;$L$72,Tableau44[[#This Row],[Sortie reveil]]-$L$72,"")</f>
        <v/>
      </c>
      <c r="U59" s="15" t="str">
        <f>IF(Tableau44[[#This Row],[Sortie de salle/ER]]&gt;$L$73,(Tableau44[[#This Row],[Sortie de salle/ER]]-$L$73),"")</f>
        <v/>
      </c>
      <c r="V59" s="15" t="str">
        <f>IF(AND(Tableau44[[#This Row],[Date  
JJ/MM/AAAA]]=A58,Tableau44[[#This Row],[salle]]=B58),(Tableau44[[#This Row],[Entrée de salle]]-I58),"")</f>
        <v/>
      </c>
      <c r="W59" s="24" t="str">
        <f t="shared" si="0"/>
        <v>jeudi</v>
      </c>
      <c r="X59" s="9" t="str">
        <f t="shared" si="1"/>
        <v>jeudi</v>
      </c>
    </row>
    <row r="60" spans="1:24" x14ac:dyDescent="0.25">
      <c r="A60" s="10">
        <v>42726</v>
      </c>
      <c r="B60" s="11">
        <v>1</v>
      </c>
      <c r="C60" s="11" t="s">
        <v>70</v>
      </c>
      <c r="D60" s="11"/>
      <c r="E60" s="12">
        <v>0.4375</v>
      </c>
      <c r="F60" s="12">
        <v>0.44444444444444442</v>
      </c>
      <c r="G60" s="12">
        <v>0.4513888888888889</v>
      </c>
      <c r="H60" s="12">
        <v>0.47222222222222227</v>
      </c>
      <c r="I60" s="12">
        <v>0.4861111111111111</v>
      </c>
      <c r="J60" s="12">
        <v>0.5083333333333333</v>
      </c>
      <c r="K60" s="13">
        <f>Tableau44[[#This Row],[Fermeture]]-Tableau44[[#This Row],[Incision]]</f>
        <v>2.083333333333337E-2</v>
      </c>
      <c r="L60" s="13">
        <f>Tableau44[[#This Row],[Sortie de salle/ER]]-Tableau44[[#This Row],[Entrée de salle]]</f>
        <v>4.8611111111111105E-2</v>
      </c>
      <c r="M60" s="11">
        <v>1</v>
      </c>
      <c r="N60" s="14"/>
      <c r="O60" s="15">
        <f>Tableau44[[#This Row],[Sortie reveil]]-Tableau44[[#This Row],[Sortie de salle/ER]]</f>
        <v>2.2222222222222199E-2</v>
      </c>
      <c r="P60" s="14"/>
      <c r="Q60" s="14"/>
      <c r="R60" s="14"/>
      <c r="S60" s="14" t="s">
        <v>25</v>
      </c>
      <c r="T60" s="15" t="str">
        <f>IF(Tableau44[[#This Row],[Sortie reveil]]&gt;$L$72,Tableau44[[#This Row],[Sortie reveil]]-$L$72,"")</f>
        <v/>
      </c>
      <c r="U60" s="15" t="str">
        <f>IF(Tableau44[[#This Row],[Sortie de salle/ER]]&gt;$L$73,(Tableau44[[#This Row],[Sortie de salle/ER]]-$L$73),"")</f>
        <v/>
      </c>
      <c r="V60" s="15">
        <f>IF(AND(Tableau44[[#This Row],[Date  
JJ/MM/AAAA]]=A59,Tableau44[[#This Row],[salle]]=B59),(Tableau44[[#This Row],[Entrée de salle]]-I59),"")</f>
        <v>1.3888888888888895E-2</v>
      </c>
      <c r="W60" s="24" t="str">
        <f t="shared" si="0"/>
        <v/>
      </c>
      <c r="X60" s="9" t="str">
        <f t="shared" si="1"/>
        <v>jeudi</v>
      </c>
    </row>
    <row r="61" spans="1:24" x14ac:dyDescent="0.25">
      <c r="A61" s="18">
        <v>42726</v>
      </c>
      <c r="B61" s="19">
        <v>3</v>
      </c>
      <c r="C61" s="19" t="s">
        <v>71</v>
      </c>
      <c r="D61" s="19"/>
      <c r="E61" s="20">
        <v>0.375</v>
      </c>
      <c r="F61" s="20">
        <v>0.38541666666666669</v>
      </c>
      <c r="G61" s="20">
        <v>0.38541666666666669</v>
      </c>
      <c r="H61" s="20">
        <v>0.40277777777777773</v>
      </c>
      <c r="I61" s="20">
        <v>0.40277777777777773</v>
      </c>
      <c r="J61" s="20">
        <v>0.40277777777777773</v>
      </c>
      <c r="K61" s="21">
        <f>Tableau44[[#This Row],[Fermeture]]-Tableau44[[#This Row],[Incision]]</f>
        <v>1.7361111111111049E-2</v>
      </c>
      <c r="L61" s="21">
        <f>Tableau44[[#This Row],[Sortie de salle/ER]]-Tableau44[[#This Row],[Entrée de salle]]</f>
        <v>2.7777777777777735E-2</v>
      </c>
      <c r="M61" s="19">
        <v>1</v>
      </c>
      <c r="N61" s="14">
        <v>2</v>
      </c>
      <c r="O61" s="15">
        <f>Tableau44[[#This Row],[Sortie reveil]]-Tableau44[[#This Row],[Sortie de salle/ER]]</f>
        <v>0</v>
      </c>
      <c r="P61" s="22">
        <v>0.13333333333333333</v>
      </c>
      <c r="Q61" s="22">
        <v>0.5083333333333333</v>
      </c>
      <c r="R61" s="22"/>
      <c r="S61" s="14" t="s">
        <v>25</v>
      </c>
      <c r="T61" s="15" t="str">
        <f>IF(Tableau44[[#This Row],[Sortie reveil]]&gt;$L$72,Tableau44[[#This Row],[Sortie reveil]]-$L$72,"")</f>
        <v/>
      </c>
      <c r="U61" s="15" t="str">
        <f>IF(Tableau44[[#This Row],[Sortie de salle/ER]]&gt;$L$73,(Tableau44[[#This Row],[Sortie de salle/ER]]-$L$73),"")</f>
        <v/>
      </c>
      <c r="V61" s="15" t="str">
        <f>IF(AND(Tableau44[[#This Row],[Date  
JJ/MM/AAAA]]=A60,Tableau44[[#This Row],[salle]]=B60),(Tableau44[[#This Row],[Entrée de salle]]-I60),"")</f>
        <v/>
      </c>
      <c r="W61" s="24" t="str">
        <f t="shared" si="0"/>
        <v/>
      </c>
      <c r="X61" s="9" t="str">
        <f t="shared" si="1"/>
        <v>jeudi</v>
      </c>
    </row>
    <row r="62" spans="1:24" x14ac:dyDescent="0.25">
      <c r="A62" s="29"/>
      <c r="E62" s="30">
        <f>SUBTOTAL(105,Tableau44[Entrée de salle])</f>
        <v>0.34027777777777773</v>
      </c>
      <c r="F62" s="30"/>
      <c r="G62" s="30"/>
      <c r="H62" s="31">
        <f>SUBTOTAL(105,Tableau44[Sortie de salle/ER])</f>
        <v>0.3923611111111111</v>
      </c>
      <c r="I62" s="32">
        <f>SUBTOTAL(104,Tableau44[Sortie de salle/ER])</f>
        <v>0.83333333333333337</v>
      </c>
      <c r="J62" s="32">
        <f>SUBTOTAL(104,Tableau44[Sortie reveil])</f>
        <v>0.86805555555555547</v>
      </c>
      <c r="K62" s="33">
        <f>SUBTOTAL(109,Tableau44[temps opératoire])</f>
        <v>4.5312499999999982</v>
      </c>
      <c r="L62" s="33">
        <f>SUBTOTAL(109,Tableau44[temps d''occupation de salle])</f>
        <v>6.803472222222223</v>
      </c>
      <c r="M62" s="34">
        <f>SUBTOTAL(109,Tableau44[Colonne1])</f>
        <v>60</v>
      </c>
      <c r="O62" s="35">
        <f>SUBTOTAL(109,Tableau44[temps reveil])</f>
        <v>2.6694444444444447</v>
      </c>
      <c r="P62" s="35">
        <f>SUBTOTAL(101,Tableau44[amplitude horraire])</f>
        <v>0.36789529914529923</v>
      </c>
      <c r="T62" s="35">
        <f>SUBTOTAL(109,Tableau44[debordement reveil])</f>
        <v>0.13888888888888917</v>
      </c>
      <c r="U62" s="35">
        <f>SUBTOTAL(109,Tableau44[debordement salle])</f>
        <v>0.10763888888888873</v>
      </c>
      <c r="V62" s="35">
        <f>SUBTOTAL(107,Tableau44[temps entre interventions])</f>
        <v>4.8988334647999239E-2</v>
      </c>
    </row>
    <row r="63" spans="1:24" x14ac:dyDescent="0.25">
      <c r="I63" s="36">
        <f>Tableau44[[#Totals],[Sortie de salle/ER]]-Tableau44[[#Totals],[Fermeture]]</f>
        <v>0.44097222222222227</v>
      </c>
      <c r="P63" s="37">
        <f>Tableau44[[#Totals],[Sortie de salle/ER]]-Tableau44[[#Totals],[Entrée de salle]]</f>
        <v>0.49305555555555564</v>
      </c>
      <c r="Q63" s="38">
        <f>Tableau44[[#Totals],[Sortie reveil]]-Tableau44[[#Totals],[Entrée de salle]]</f>
        <v>0.52777777777777768</v>
      </c>
      <c r="T63" s="39">
        <f>Tableau44[[#Totals],[debordement salle]]+Tableau44[[#Totals],[debordement reveil]]</f>
        <v>0.2465277777777779</v>
      </c>
      <c r="V63" s="35">
        <f>MEDIAN(Tableau44[temps entre interventions])</f>
        <v>1.7361111111111049E-2</v>
      </c>
    </row>
    <row r="64" spans="1:24" ht="15.75" thickBot="1" x14ac:dyDescent="0.3"/>
    <row r="65" spans="3:21" ht="15.75" thickBot="1" x14ac:dyDescent="0.3">
      <c r="C65" s="40" t="s">
        <v>72</v>
      </c>
      <c r="D65" s="41">
        <v>0</v>
      </c>
      <c r="E65" s="42">
        <v>2.0833333333333332E-2</v>
      </c>
      <c r="F65" s="42">
        <v>4.1666666666666664E-2</v>
      </c>
      <c r="G65" s="42">
        <v>6.25E-2</v>
      </c>
      <c r="H65" s="42">
        <v>8.3333333333333301E-2</v>
      </c>
      <c r="I65" s="42">
        <v>0.104166666666667</v>
      </c>
      <c r="J65" s="42">
        <v>0.125</v>
      </c>
      <c r="K65" s="43">
        <v>0.29166666666666669</v>
      </c>
      <c r="L65" s="44" t="s">
        <v>73</v>
      </c>
    </row>
    <row r="66" spans="3:21" ht="15.75" thickBot="1" x14ac:dyDescent="0.3">
      <c r="C66" s="45" t="s">
        <v>74</v>
      </c>
      <c r="D66" s="46"/>
      <c r="E66" s="47">
        <f>SUMIFS($M$2:$M$61,$K$2:$K$61,"&gt;="&amp;D65,$K$2:$K$61,"&lt;"&amp;E65)</f>
        <v>9</v>
      </c>
      <c r="F66" s="47">
        <f t="shared" ref="F66:K66" si="2">SUMIFS($M$2:$M$61,$K$2:$K$61,"&gt;="&amp;E65,$K$2:$K$61,"&lt;"&amp;F65)</f>
        <v>7</v>
      </c>
      <c r="G66" s="47">
        <f t="shared" si="2"/>
        <v>11</v>
      </c>
      <c r="H66" s="47">
        <f t="shared" si="2"/>
        <v>11</v>
      </c>
      <c r="I66" s="47">
        <f t="shared" si="2"/>
        <v>8</v>
      </c>
      <c r="J66" s="47">
        <f t="shared" si="2"/>
        <v>3</v>
      </c>
      <c r="K66" s="47">
        <f t="shared" si="2"/>
        <v>11</v>
      </c>
      <c r="L66" s="48">
        <f>SUM(E66:K66)</f>
        <v>60</v>
      </c>
    </row>
    <row r="67" spans="3:21" ht="15.75" thickBot="1" x14ac:dyDescent="0.3">
      <c r="C67" s="45" t="s">
        <v>75</v>
      </c>
      <c r="D67" s="49"/>
      <c r="E67" s="50">
        <f>E66/$L$66</f>
        <v>0.15</v>
      </c>
      <c r="F67" s="50">
        <f t="shared" ref="F67:K67" si="3">F66/$L$66</f>
        <v>0.11666666666666667</v>
      </c>
      <c r="G67" s="50">
        <f t="shared" si="3"/>
        <v>0.18333333333333332</v>
      </c>
      <c r="H67" s="50">
        <f t="shared" si="3"/>
        <v>0.18333333333333332</v>
      </c>
      <c r="I67" s="50">
        <f t="shared" si="3"/>
        <v>0.13333333333333333</v>
      </c>
      <c r="J67" s="50">
        <f t="shared" si="3"/>
        <v>0.05</v>
      </c>
      <c r="K67" s="50">
        <f t="shared" si="3"/>
        <v>0.18333333333333332</v>
      </c>
      <c r="L67" s="50">
        <f>L66/$L$66</f>
        <v>1</v>
      </c>
    </row>
    <row r="69" spans="3:21" x14ac:dyDescent="0.25">
      <c r="M69" s="9" t="s">
        <v>76</v>
      </c>
      <c r="N69" s="9" t="s">
        <v>77</v>
      </c>
    </row>
    <row r="70" spans="3:21" x14ac:dyDescent="0.25">
      <c r="M70" s="24" t="s">
        <v>30</v>
      </c>
      <c r="N70" s="9">
        <f>COUNTIF($W$2:$W$61,M70)</f>
        <v>3</v>
      </c>
      <c r="P70" s="9">
        <v>11</v>
      </c>
      <c r="Q70" s="9">
        <f>P70/N70</f>
        <v>3.6666666666666665</v>
      </c>
      <c r="S70" s="51">
        <f>Q70/$Q$74</f>
        <v>0.19469026548672563</v>
      </c>
      <c r="T70" s="24" t="s">
        <v>30</v>
      </c>
      <c r="U70" s="9">
        <f t="shared" ref="U70:U72" si="4">COUNTIF($X$2:$X$61,T70)</f>
        <v>11</v>
      </c>
    </row>
    <row r="71" spans="3:21" x14ac:dyDescent="0.25">
      <c r="M71" s="24" t="s">
        <v>34</v>
      </c>
      <c r="N71" s="9">
        <f t="shared" ref="N71:N73" si="5">COUNTIF($W$2:$W$61,M71)</f>
        <v>3</v>
      </c>
      <c r="P71" s="9">
        <v>20</v>
      </c>
      <c r="Q71" s="9">
        <f t="shared" ref="Q71:Q73" si="6">P71/N71</f>
        <v>6.666666666666667</v>
      </c>
      <c r="S71" s="51">
        <f>Q71/$Q$74</f>
        <v>0.35398230088495575</v>
      </c>
      <c r="T71" s="24" t="s">
        <v>34</v>
      </c>
      <c r="U71" s="9">
        <f t="shared" si="4"/>
        <v>20</v>
      </c>
    </row>
    <row r="72" spans="3:21" x14ac:dyDescent="0.25">
      <c r="L72" s="30">
        <v>0.82291666666666663</v>
      </c>
      <c r="M72" s="24" t="s">
        <v>40</v>
      </c>
      <c r="N72" s="9">
        <f t="shared" si="5"/>
        <v>3</v>
      </c>
      <c r="P72" s="9">
        <v>15</v>
      </c>
      <c r="Q72" s="9">
        <f t="shared" si="6"/>
        <v>5</v>
      </c>
      <c r="S72" s="51">
        <f>Q72/$Q$74</f>
        <v>0.26548672566371678</v>
      </c>
      <c r="T72" s="24" t="s">
        <v>40</v>
      </c>
      <c r="U72" s="9">
        <f t="shared" si="4"/>
        <v>15</v>
      </c>
    </row>
    <row r="73" spans="3:21" x14ac:dyDescent="0.25">
      <c r="L73" s="30">
        <v>0.80208333333333337</v>
      </c>
      <c r="M73" s="24" t="s">
        <v>25</v>
      </c>
      <c r="N73" s="9">
        <f t="shared" si="5"/>
        <v>4</v>
      </c>
      <c r="P73" s="9">
        <v>14</v>
      </c>
      <c r="Q73" s="9">
        <f t="shared" si="6"/>
        <v>3.5</v>
      </c>
      <c r="S73" s="51">
        <f>Q73/$Q$74</f>
        <v>0.18584070796460175</v>
      </c>
      <c r="T73" s="24" t="s">
        <v>25</v>
      </c>
      <c r="U73" s="9">
        <f>COUNTIF($X$2:$X$61,T73)</f>
        <v>14</v>
      </c>
    </row>
    <row r="74" spans="3:21" x14ac:dyDescent="0.25">
      <c r="M74" s="9" t="s">
        <v>78</v>
      </c>
      <c r="N74" s="9">
        <f>SUM(N70:N73)</f>
        <v>13</v>
      </c>
      <c r="Q74" s="9">
        <f>SUM(Q70:Q73)</f>
        <v>18.833333333333336</v>
      </c>
      <c r="U74" s="9">
        <f>SUM(U70:U73)</f>
        <v>60</v>
      </c>
    </row>
    <row r="75" spans="3:21" x14ac:dyDescent="0.25">
      <c r="M75" s="9" t="s">
        <v>79</v>
      </c>
      <c r="N75" s="52">
        <v>16.25</v>
      </c>
    </row>
    <row r="76" spans="3:21" x14ac:dyDescent="0.25">
      <c r="M76" s="9" t="s">
        <v>80</v>
      </c>
      <c r="N76" s="52">
        <v>6.5</v>
      </c>
    </row>
    <row r="80" spans="3:21" x14ac:dyDescent="0.25">
      <c r="D80" s="9" t="s">
        <v>81</v>
      </c>
      <c r="E80" s="9" t="s">
        <v>82</v>
      </c>
      <c r="F80" s="9" t="s">
        <v>72</v>
      </c>
      <c r="G80" s="9" t="s">
        <v>83</v>
      </c>
    </row>
    <row r="81" spans="4:24" x14ac:dyDescent="0.25">
      <c r="D81" s="9">
        <f>COUNTIF(Tableau44[Chirurgien],C81)</f>
        <v>0</v>
      </c>
      <c r="E81" s="33">
        <f>SUMIF(Tableau44[Chirurgien],$C81,Tableau44[temps d''occupation de salle])</f>
        <v>0</v>
      </c>
      <c r="F81" s="33">
        <f>SUMIF(Tableau44[Chirurgien],$C81,Tableau44[temps opératoire])</f>
        <v>0</v>
      </c>
      <c r="G81" s="33">
        <f>N95*N71</f>
        <v>1.25</v>
      </c>
    </row>
    <row r="82" spans="4:24" x14ac:dyDescent="0.25">
      <c r="D82" s="9">
        <f>COUNTIF(Tableau44[Chirurgien],C82)</f>
        <v>0</v>
      </c>
      <c r="E82" s="33">
        <f>SUMIF(Tableau44[Chirurgien],$C82,Tableau44[temps d''occupation de salle])</f>
        <v>0</v>
      </c>
      <c r="F82" s="33">
        <f>SUMIF(Tableau44[Chirurgien],$C82,Tableau44[temps opératoire])</f>
        <v>0</v>
      </c>
      <c r="G82" s="33">
        <f>N96*N71+O96*N72</f>
        <v>2.5</v>
      </c>
    </row>
    <row r="83" spans="4:24" x14ac:dyDescent="0.25">
      <c r="D83" s="9">
        <f>COUNTIF(Tableau44[Chirurgien],C83)</f>
        <v>0</v>
      </c>
      <c r="E83" s="33">
        <f>SUMIF(Tableau44[Chirurgien],$C83,Tableau44[temps d''occupation de salle])</f>
        <v>0</v>
      </c>
      <c r="F83" s="33">
        <f>SUMIF(Tableau44[Chirurgien],$C83,Tableau44[temps opératoire])</f>
        <v>0</v>
      </c>
      <c r="G83" s="33">
        <f>N97*N71</f>
        <v>1.25</v>
      </c>
    </row>
    <row r="84" spans="4:24" x14ac:dyDescent="0.25">
      <c r="D84" s="9">
        <f>COUNTIF(Tableau44[Chirurgien],C84)</f>
        <v>0</v>
      </c>
      <c r="E84" s="33">
        <f>SUMIF(Tableau44[Chirurgien],$C84,Tableau44[temps d''occupation de salle])</f>
        <v>0</v>
      </c>
      <c r="F84" s="33">
        <f>SUMIF(Tableau44[Chirurgien],$C84,Tableau44[temps opératoire])</f>
        <v>0</v>
      </c>
      <c r="G84" s="33">
        <f>M98*N70</f>
        <v>0.625</v>
      </c>
    </row>
    <row r="85" spans="4:24" x14ac:dyDescent="0.25">
      <c r="D85" s="9">
        <f>COUNTIF(Tableau44[Chirurgien],C85)</f>
        <v>0</v>
      </c>
      <c r="E85" s="33">
        <f>SUMIF(Tableau44[Chirurgien],$C85,Tableau44[temps d''occupation de salle])</f>
        <v>0</v>
      </c>
      <c r="F85" s="33">
        <f>SUMIF(Tableau44[Chirurgien],$C85,Tableau44[temps opératoire])</f>
        <v>0</v>
      </c>
      <c r="G85" s="33">
        <f>O99*N72</f>
        <v>1.25</v>
      </c>
      <c r="M85" s="9" t="s">
        <v>84</v>
      </c>
      <c r="N85" s="9" t="s">
        <v>85</v>
      </c>
      <c r="O85" s="9" t="s">
        <v>86</v>
      </c>
    </row>
    <row r="86" spans="4:24" x14ac:dyDescent="0.25">
      <c r="D86" s="9">
        <f>COUNTIF(Tableau44[Chirurgien],C86)</f>
        <v>0</v>
      </c>
      <c r="E86" s="33">
        <f>SUMIF(Tableau44[Chirurgien],$C86,Tableau44[temps d''occupation de salle])</f>
        <v>0</v>
      </c>
      <c r="F86" s="33">
        <f>SUMIF(Tableau44[Chirurgien],$C86,Tableau44[temps opératoire])</f>
        <v>0</v>
      </c>
      <c r="G86" s="33">
        <f>P100*N73</f>
        <v>0.83333333333333337</v>
      </c>
      <c r="L86" s="9" t="s">
        <v>87</v>
      </c>
      <c r="M86" s="35">
        <f>AVERAGE(Tableau44[temps d''occupation de salle])</f>
        <v>0.11339120370370372</v>
      </c>
      <c r="N86" s="35">
        <f>STDEV(Tableau44[temps d''occupation de salle])</f>
        <v>6.2596192410909857E-2</v>
      </c>
      <c r="O86" s="35">
        <f>MEDIAN(Tableau44[temps d''occupation de salle])</f>
        <v>0.10763888888888887</v>
      </c>
    </row>
    <row r="87" spans="4:24" x14ac:dyDescent="0.25">
      <c r="D87" s="9">
        <f>COUNTIF(Tableau44[Chirurgien],C87)</f>
        <v>0</v>
      </c>
      <c r="E87" s="33">
        <f>SUMIF(Tableau44[Chirurgien],$C87,Tableau44[temps d''occupation de salle])</f>
        <v>0</v>
      </c>
      <c r="F87" s="33">
        <f>SUMIF(Tableau44[Chirurgien],$C87,Tableau44[temps opératoire])</f>
        <v>0</v>
      </c>
      <c r="G87" s="33">
        <f>P101*N73</f>
        <v>1.6666666666666667</v>
      </c>
      <c r="L87" s="9" t="s">
        <v>72</v>
      </c>
      <c r="M87" s="35">
        <f>AVERAGE(Tableau44[temps opératoire])</f>
        <v>7.5520833333333301E-2</v>
      </c>
      <c r="N87" s="35">
        <f>STDEV(Tableau44[temps opératoire])</f>
        <v>5.458944348548958E-2</v>
      </c>
      <c r="O87" s="35">
        <f>MEDIAN(Tableau44[temps opératoire])</f>
        <v>6.944444444444442E-2</v>
      </c>
    </row>
    <row r="88" spans="4:24" x14ac:dyDescent="0.25">
      <c r="D88" s="9">
        <f>COUNTIF(Tableau44[Chirurgien],C88)</f>
        <v>0</v>
      </c>
      <c r="E88" s="33">
        <f>SUMIF(Tableau44[Chirurgien],$C88,Tableau44[temps d''occupation de salle])</f>
        <v>0</v>
      </c>
      <c r="F88" s="33">
        <f>SUMIF(Tableau44[Chirurgien],$C88,Tableau44[temps opératoire])</f>
        <v>0</v>
      </c>
      <c r="G88" s="33">
        <f>O102*N72</f>
        <v>1.25</v>
      </c>
      <c r="L88" s="9" t="s">
        <v>88</v>
      </c>
      <c r="M88" s="35">
        <f>AVERAGE(Tableau44[temps reveil])</f>
        <v>4.4490740740740747E-2</v>
      </c>
      <c r="N88" s="35">
        <f>STDEV(Tableau44[temps reveil])</f>
        <v>2.5326088778679499E-2</v>
      </c>
      <c r="O88" s="35">
        <f>MEDIAN(Tableau44[temps reveil])</f>
        <v>4.1666666666666685E-2</v>
      </c>
    </row>
    <row r="89" spans="4:24" x14ac:dyDescent="0.25">
      <c r="D89" s="9">
        <f>SUM(D81:D88)</f>
        <v>0</v>
      </c>
      <c r="E89" s="33">
        <f>SUM(E81:E88)</f>
        <v>0</v>
      </c>
      <c r="F89" s="33">
        <f>SUM(F81:F88)</f>
        <v>0</v>
      </c>
      <c r="L89" s="9" t="s">
        <v>89</v>
      </c>
      <c r="M89" s="35">
        <f>AVERAGE(Tableau44[temps entre interventions])</f>
        <v>4.2027777777777768E-2</v>
      </c>
      <c r="N89" s="35">
        <f>STDEV(Tableau44[temps entre interventions])</f>
        <v>4.8988334647999239E-2</v>
      </c>
      <c r="O89" s="35">
        <f>MEDIAN(Tableau44[temps entre interventions])</f>
        <v>1.7361111111111049E-2</v>
      </c>
    </row>
    <row r="90" spans="4:24" x14ac:dyDescent="0.25">
      <c r="E90" s="51">
        <f>E89/N75</f>
        <v>0</v>
      </c>
      <c r="F90" s="51">
        <f>F89/N75</f>
        <v>0</v>
      </c>
    </row>
    <row r="94" spans="4:24" x14ac:dyDescent="0.25">
      <c r="L94" s="53"/>
      <c r="M94" s="53" t="s">
        <v>30</v>
      </c>
      <c r="N94" s="53" t="s">
        <v>34</v>
      </c>
      <c r="O94" s="53" t="s">
        <v>40</v>
      </c>
      <c r="P94" s="53" t="s">
        <v>25</v>
      </c>
      <c r="S94" s="53"/>
      <c r="T94" s="53" t="s">
        <v>30</v>
      </c>
      <c r="U94" s="53" t="s">
        <v>34</v>
      </c>
      <c r="V94" s="53" t="s">
        <v>40</v>
      </c>
      <c r="W94" s="53" t="s">
        <v>25</v>
      </c>
      <c r="X94" s="24"/>
    </row>
    <row r="95" spans="4:24" x14ac:dyDescent="0.25">
      <c r="L95" s="53"/>
      <c r="M95" s="54"/>
      <c r="N95" s="54">
        <v>0.41666666666666669</v>
      </c>
      <c r="O95" s="54"/>
      <c r="P95" s="54"/>
      <c r="Q95" s="33">
        <f>P95+O95+N95+M95</f>
        <v>0.41666666666666669</v>
      </c>
      <c r="S95" s="53"/>
      <c r="T95" s="54">
        <f>M95*$N$70</f>
        <v>0</v>
      </c>
      <c r="U95" s="54">
        <f t="shared" ref="U95:U102" si="7">N95*$N$71</f>
        <v>1.25</v>
      </c>
      <c r="V95" s="54">
        <f t="shared" ref="V95:V102" si="8">O95*$N$72</f>
        <v>0</v>
      </c>
      <c r="W95" s="54">
        <f t="shared" ref="W95:W102" si="9">P95*$N$73</f>
        <v>0</v>
      </c>
      <c r="X95" s="55">
        <f>W95+V95+U95+T95</f>
        <v>1.25</v>
      </c>
    </row>
    <row r="96" spans="4:24" x14ac:dyDescent="0.25">
      <c r="L96" s="53"/>
      <c r="M96" s="54"/>
      <c r="N96" s="54">
        <v>0.41666666666666669</v>
      </c>
      <c r="O96" s="54">
        <v>0.41666666666666669</v>
      </c>
      <c r="P96" s="54"/>
      <c r="Q96" s="33">
        <f t="shared" ref="Q96:Q102" si="10">P96+O96+N96+M96</f>
        <v>0.83333333333333337</v>
      </c>
      <c r="S96" s="53"/>
      <c r="T96" s="54">
        <f t="shared" ref="T96:T102" si="11">M96*N71</f>
        <v>0</v>
      </c>
      <c r="U96" s="54">
        <f t="shared" si="7"/>
        <v>1.25</v>
      </c>
      <c r="V96" s="54">
        <f t="shared" si="8"/>
        <v>1.25</v>
      </c>
      <c r="W96" s="54">
        <f t="shared" si="9"/>
        <v>0</v>
      </c>
      <c r="X96" s="55">
        <f t="shared" ref="X96:X103" si="12">W96+V96+U96+T96</f>
        <v>2.5</v>
      </c>
    </row>
    <row r="97" spans="12:24" x14ac:dyDescent="0.25">
      <c r="L97" s="53"/>
      <c r="M97" s="54"/>
      <c r="N97" s="54">
        <v>0.41666666666666669</v>
      </c>
      <c r="O97" s="54"/>
      <c r="P97" s="54"/>
      <c r="Q97" s="33">
        <f t="shared" si="10"/>
        <v>0.41666666666666669</v>
      </c>
      <c r="S97" s="53"/>
      <c r="T97" s="54">
        <f t="shared" si="11"/>
        <v>0</v>
      </c>
      <c r="U97" s="54">
        <f t="shared" si="7"/>
        <v>1.25</v>
      </c>
      <c r="V97" s="54">
        <f t="shared" si="8"/>
        <v>0</v>
      </c>
      <c r="W97" s="54">
        <f t="shared" si="9"/>
        <v>0</v>
      </c>
      <c r="X97" s="55">
        <f t="shared" si="12"/>
        <v>1.25</v>
      </c>
    </row>
    <row r="98" spans="12:24" x14ac:dyDescent="0.25">
      <c r="L98" s="53"/>
      <c r="M98" s="54">
        <v>0.20833333333333334</v>
      </c>
      <c r="N98" s="54"/>
      <c r="O98" s="54"/>
      <c r="P98" s="54"/>
      <c r="Q98" s="33">
        <f t="shared" si="10"/>
        <v>0.20833333333333334</v>
      </c>
      <c r="S98" s="53"/>
      <c r="T98" s="54">
        <f t="shared" si="11"/>
        <v>0.83333333333333337</v>
      </c>
      <c r="U98" s="54">
        <f t="shared" si="7"/>
        <v>0</v>
      </c>
      <c r="V98" s="54">
        <f t="shared" si="8"/>
        <v>0</v>
      </c>
      <c r="W98" s="54">
        <f t="shared" si="9"/>
        <v>0</v>
      </c>
      <c r="X98" s="55">
        <f t="shared" si="12"/>
        <v>0.83333333333333337</v>
      </c>
    </row>
    <row r="99" spans="12:24" x14ac:dyDescent="0.25">
      <c r="L99" s="53"/>
      <c r="M99" s="54"/>
      <c r="N99" s="54"/>
      <c r="O99" s="54">
        <v>0.41666666666666669</v>
      </c>
      <c r="P99" s="54"/>
      <c r="Q99" s="33">
        <f t="shared" si="10"/>
        <v>0.41666666666666669</v>
      </c>
      <c r="S99" s="53"/>
      <c r="T99" s="54">
        <f t="shared" si="11"/>
        <v>0</v>
      </c>
      <c r="U99" s="54">
        <f t="shared" si="7"/>
        <v>0</v>
      </c>
      <c r="V99" s="54">
        <f t="shared" si="8"/>
        <v>1.25</v>
      </c>
      <c r="W99" s="54">
        <f t="shared" si="9"/>
        <v>0</v>
      </c>
      <c r="X99" s="55">
        <f t="shared" si="12"/>
        <v>1.25</v>
      </c>
    </row>
    <row r="100" spans="12:24" x14ac:dyDescent="0.25">
      <c r="L100" s="53"/>
      <c r="M100" s="54"/>
      <c r="N100" s="54"/>
      <c r="O100" s="54"/>
      <c r="P100" s="54">
        <v>0.20833333333333334</v>
      </c>
      <c r="Q100" s="33">
        <f t="shared" si="10"/>
        <v>0.20833333333333334</v>
      </c>
      <c r="S100" s="53"/>
      <c r="T100" s="54">
        <f t="shared" si="11"/>
        <v>0</v>
      </c>
      <c r="U100" s="54">
        <f t="shared" si="7"/>
        <v>0</v>
      </c>
      <c r="V100" s="54">
        <f t="shared" si="8"/>
        <v>0</v>
      </c>
      <c r="W100" s="54">
        <f t="shared" si="9"/>
        <v>0.83333333333333337</v>
      </c>
      <c r="X100" s="55">
        <f t="shared" si="12"/>
        <v>0.83333333333333337</v>
      </c>
    </row>
    <row r="101" spans="12:24" x14ac:dyDescent="0.25">
      <c r="L101" s="53"/>
      <c r="M101" s="54"/>
      <c r="N101" s="54"/>
      <c r="O101" s="54"/>
      <c r="P101" s="54">
        <v>0.41666666666666669</v>
      </c>
      <c r="Q101" s="33">
        <f t="shared" si="10"/>
        <v>0.41666666666666669</v>
      </c>
      <c r="S101" s="53"/>
      <c r="T101" s="54">
        <f t="shared" si="11"/>
        <v>0</v>
      </c>
      <c r="U101" s="54">
        <f t="shared" si="7"/>
        <v>0</v>
      </c>
      <c r="V101" s="54">
        <f t="shared" si="8"/>
        <v>0</v>
      </c>
      <c r="W101" s="54">
        <f t="shared" si="9"/>
        <v>1.6666666666666667</v>
      </c>
      <c r="X101" s="55">
        <f t="shared" si="12"/>
        <v>1.6666666666666667</v>
      </c>
    </row>
    <row r="102" spans="12:24" x14ac:dyDescent="0.25">
      <c r="L102" s="53"/>
      <c r="M102" s="54"/>
      <c r="N102" s="54"/>
      <c r="O102" s="54">
        <v>0.41666666666666669</v>
      </c>
      <c r="P102" s="54"/>
      <c r="Q102" s="33">
        <f t="shared" si="10"/>
        <v>0.41666666666666669</v>
      </c>
      <c r="S102" s="53"/>
      <c r="T102" s="54">
        <f t="shared" si="11"/>
        <v>0</v>
      </c>
      <c r="U102" s="54">
        <f t="shared" si="7"/>
        <v>0</v>
      </c>
      <c r="V102" s="54">
        <f t="shared" si="8"/>
        <v>1.25</v>
      </c>
      <c r="W102" s="54">
        <f t="shared" si="9"/>
        <v>0</v>
      </c>
      <c r="X102" s="55">
        <f t="shared" si="12"/>
        <v>1.25</v>
      </c>
    </row>
    <row r="103" spans="12:24" x14ac:dyDescent="0.25">
      <c r="M103" s="33">
        <f>M95+M96+M97+M98+M99+M100+M101+M102</f>
        <v>0.20833333333333334</v>
      </c>
      <c r="N103" s="33">
        <f t="shared" ref="N103:P103" si="13">N95+N96+N97+N98+N99+N100+N101+N102</f>
        <v>1.25</v>
      </c>
      <c r="O103" s="33">
        <f t="shared" si="13"/>
        <v>1.25</v>
      </c>
      <c r="P103" s="33">
        <f t="shared" si="13"/>
        <v>0.625</v>
      </c>
      <c r="Q103" s="33">
        <f>SUM(Q95:Q102)</f>
        <v>3.333333333333333</v>
      </c>
      <c r="T103" s="55">
        <f>SUM(T95:T102)</f>
        <v>0.83333333333333337</v>
      </c>
      <c r="U103" s="55">
        <f t="shared" ref="U103:W103" si="14">SUM(U95:U102)</f>
        <v>3.75</v>
      </c>
      <c r="V103" s="55">
        <f t="shared" si="14"/>
        <v>3.75</v>
      </c>
      <c r="W103" s="55">
        <f t="shared" si="14"/>
        <v>2.5</v>
      </c>
      <c r="X103" s="55">
        <f t="shared" si="12"/>
        <v>10.833333333333334</v>
      </c>
    </row>
  </sheetData>
  <conditionalFormatting sqref="T2:U61">
    <cfRule type="cellIs" dxfId="93" priority="1" operator="greaterThan">
      <formula>0</formula>
    </cfRule>
    <cfRule type="colorScale" priority="2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Octobre 2016</vt:lpstr>
      <vt:lpstr>Novembre 2016</vt:lpstr>
      <vt:lpstr>Décembre 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MEDAN</dc:creator>
  <cp:lastModifiedBy>Stéphane MEDAN</cp:lastModifiedBy>
  <dcterms:created xsi:type="dcterms:W3CDTF">2017-02-08T08:31:09Z</dcterms:created>
  <dcterms:modified xsi:type="dcterms:W3CDTF">2017-02-08T08:38:38Z</dcterms:modified>
</cp:coreProperties>
</file>