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G:\Inter-crosse\AFIC\Saison 2017-2018\"/>
    </mc:Choice>
  </mc:AlternateContent>
  <bookViews>
    <workbookView xWindow="0" yWindow="0" windowWidth="21570" windowHeight="10830" activeTab="3"/>
  </bookViews>
  <sheets>
    <sheet name="Classement" sheetId="1" r:id="rId1"/>
    <sheet name="RESU" sheetId="2" r:id="rId2"/>
    <sheet name="Présence entrainement" sheetId="5" r:id="rId3"/>
    <sheet name="Licence" sheetId="6" r:id="rId4"/>
    <sheet name="Ressources" sheetId="7" state="hidden" r:id="rId5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E4" i="6" l="1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C19" i="5" l="1"/>
  <c r="C11" i="5"/>
  <c r="C4" i="5"/>
  <c r="C13" i="5"/>
  <c r="B19" i="5" l="1"/>
  <c r="B2" i="5"/>
  <c r="B9" i="5"/>
  <c r="B16" i="5"/>
  <c r="B8" i="5"/>
  <c r="B17" i="5"/>
  <c r="B7" i="5"/>
  <c r="B5" i="5"/>
  <c r="B14" i="5"/>
  <c r="B6" i="5"/>
  <c r="B20" i="5"/>
  <c r="B4" i="5"/>
  <c r="B18" i="5"/>
  <c r="B11" i="5"/>
  <c r="B3" i="5"/>
  <c r="B10" i="5"/>
  <c r="B15" i="5"/>
  <c r="B13" i="5"/>
  <c r="J23" i="6" l="1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Z25" i="5"/>
  <c r="AA25" i="5"/>
  <c r="AB25" i="5"/>
  <c r="AC25" i="5"/>
  <c r="AD25" i="5"/>
  <c r="AE25" i="5"/>
  <c r="AF25" i="5"/>
  <c r="AG25" i="5"/>
  <c r="AH25" i="5"/>
  <c r="AI25" i="5"/>
  <c r="AJ25" i="5"/>
  <c r="AK25" i="5"/>
  <c r="AL25" i="5"/>
  <c r="AM25" i="5"/>
  <c r="AN25" i="5"/>
  <c r="AO25" i="5"/>
  <c r="AP25" i="5"/>
  <c r="AQ25" i="5"/>
  <c r="AR25" i="5"/>
  <c r="AS25" i="5"/>
  <c r="AT25" i="5"/>
  <c r="AU25" i="5"/>
  <c r="AV25" i="5"/>
  <c r="AW25" i="5"/>
  <c r="AX25" i="5"/>
  <c r="AY25" i="5"/>
  <c r="AZ25" i="5"/>
  <c r="C16" i="5"/>
  <c r="C14" i="5"/>
  <c r="E25" i="5" l="1"/>
  <c r="C9" i="5"/>
  <c r="C6" i="5"/>
  <c r="D26" i="5" l="1"/>
  <c r="D23" i="5"/>
  <c r="D19" i="5" s="1"/>
  <c r="B1" i="7"/>
  <c r="D13" i="5" l="1"/>
  <c r="D11" i="5"/>
  <c r="D4" i="5"/>
  <c r="D14" i="5"/>
  <c r="D16" i="5"/>
  <c r="D9" i="5"/>
  <c r="D6" i="5"/>
  <c r="C8" i="5"/>
  <c r="D8" i="5" s="1"/>
  <c r="C7" i="5"/>
  <c r="D7" i="5" s="1"/>
  <c r="C10" i="5"/>
  <c r="D10" i="5" s="1"/>
  <c r="C18" i="5"/>
  <c r="D18" i="5" s="1"/>
  <c r="C3" i="5"/>
  <c r="D3" i="5" s="1"/>
  <c r="C5" i="5"/>
  <c r="D5" i="5" s="1"/>
  <c r="C15" i="5"/>
  <c r="D15" i="5" s="1"/>
  <c r="C17" i="5"/>
  <c r="D17" i="5" s="1"/>
  <c r="C20" i="5"/>
  <c r="D20" i="5" s="1"/>
  <c r="C2" i="5"/>
  <c r="D2" i="5" s="1"/>
  <c r="C12" i="5"/>
  <c r="D12" i="5" s="1"/>
  <c r="B12" i="5"/>
  <c r="D27" i="5" s="1"/>
  <c r="C1" i="6"/>
</calcChain>
</file>

<file path=xl/sharedStrings.xml><?xml version="1.0" encoding="utf-8"?>
<sst xmlns="http://schemas.openxmlformats.org/spreadsheetml/2006/main" count="184" uniqueCount="113">
  <si>
    <t>TOTAL</t>
  </si>
  <si>
    <t>01/09/2017</t>
  </si>
  <si>
    <t>08/09/2017</t>
  </si>
  <si>
    <t>15/09/2017</t>
  </si>
  <si>
    <t>22/09/2017</t>
  </si>
  <si>
    <t>29/09/2017</t>
  </si>
  <si>
    <t>06/10/2017</t>
  </si>
  <si>
    <t>13/10/2017</t>
  </si>
  <si>
    <t>20/10/2017</t>
  </si>
  <si>
    <t>27/10/2017</t>
  </si>
  <si>
    <t>03/11/2017</t>
  </si>
  <si>
    <t>10/11/2017</t>
  </si>
  <si>
    <t>17/11/2017</t>
  </si>
  <si>
    <t>24/11/2017</t>
  </si>
  <si>
    <t>01/12/2017</t>
  </si>
  <si>
    <t>08/12/2017</t>
  </si>
  <si>
    <t>15/12/2017</t>
  </si>
  <si>
    <t>22/12/2017</t>
  </si>
  <si>
    <t>29/12/2017</t>
  </si>
  <si>
    <t>05/01/2018</t>
  </si>
  <si>
    <t>12/01/2018</t>
  </si>
  <si>
    <t>19/01/2018</t>
  </si>
  <si>
    <t>26/01/2018</t>
  </si>
  <si>
    <t>02/02/2018</t>
  </si>
  <si>
    <t>09/02/2018</t>
  </si>
  <si>
    <t>16/02/2018</t>
  </si>
  <si>
    <t>23/02/2018</t>
  </si>
  <si>
    <t>02/03/2018</t>
  </si>
  <si>
    <t>09/03/2018</t>
  </si>
  <si>
    <t>16/03/2018</t>
  </si>
  <si>
    <t>23/03/2018</t>
  </si>
  <si>
    <t>30/03/2018</t>
  </si>
  <si>
    <t>06/04/2018</t>
  </si>
  <si>
    <t>13/04/2018</t>
  </si>
  <si>
    <t>20/04/2018</t>
  </si>
  <si>
    <t>27/04/2018</t>
  </si>
  <si>
    <t>04/05/2018</t>
  </si>
  <si>
    <t>11/05/2018</t>
  </si>
  <si>
    <t>18/05/2018</t>
  </si>
  <si>
    <t>25/05/2018</t>
  </si>
  <si>
    <t>01/06/2018</t>
  </si>
  <si>
    <t>08/06/2018</t>
  </si>
  <si>
    <t>15/06/2018</t>
  </si>
  <si>
    <t>22/06/2018</t>
  </si>
  <si>
    <t>29/06/2018</t>
  </si>
  <si>
    <t>06/07/2018</t>
  </si>
  <si>
    <t>13/07/2018</t>
  </si>
  <si>
    <t>20/07/2018</t>
  </si>
  <si>
    <t>27/07/2018</t>
  </si>
  <si>
    <t>JOUEUR</t>
  </si>
  <si>
    <t>%</t>
  </si>
  <si>
    <t>MOYENNE</t>
  </si>
  <si>
    <t>Nom</t>
  </si>
  <si>
    <t>Prénom</t>
  </si>
  <si>
    <t>Date de naissance</t>
  </si>
  <si>
    <t>Age</t>
  </si>
  <si>
    <t>Certificat</t>
  </si>
  <si>
    <t>Surclassement</t>
  </si>
  <si>
    <t>Licence</t>
  </si>
  <si>
    <t>Nbr joueur</t>
  </si>
  <si>
    <t>Licence en attente</t>
  </si>
  <si>
    <t>Licence valide</t>
  </si>
  <si>
    <t>Kevin</t>
  </si>
  <si>
    <t>Jérôme</t>
  </si>
  <si>
    <t>Laurent</t>
  </si>
  <si>
    <t>Timothée</t>
  </si>
  <si>
    <t>Anthony</t>
  </si>
  <si>
    <t>Bruno</t>
  </si>
  <si>
    <t>Sofia</t>
  </si>
  <si>
    <t>Théo</t>
  </si>
  <si>
    <t>Thomas</t>
  </si>
  <si>
    <t>Vincent</t>
  </si>
  <si>
    <t>Anatole</t>
  </si>
  <si>
    <t>Ludovic</t>
  </si>
  <si>
    <t>x</t>
  </si>
  <si>
    <t>Loffel</t>
  </si>
  <si>
    <t>Payement</t>
  </si>
  <si>
    <t>Ajourd'hui</t>
  </si>
  <si>
    <t>Oui - Non</t>
  </si>
  <si>
    <t>Oui</t>
  </si>
  <si>
    <t>Non</t>
  </si>
  <si>
    <t>Ponchon</t>
  </si>
  <si>
    <t>Berry</t>
  </si>
  <si>
    <t>Sanchez</t>
  </si>
  <si>
    <t>Ville</t>
  </si>
  <si>
    <t>Rocher</t>
  </si>
  <si>
    <t>Simon</t>
  </si>
  <si>
    <t>Simoes</t>
  </si>
  <si>
    <t>Dapvril</t>
  </si>
  <si>
    <t>Barrillat</t>
  </si>
  <si>
    <t>Girod</t>
  </si>
  <si>
    <t>Clavioz</t>
  </si>
  <si>
    <t>Etat des licences</t>
  </si>
  <si>
    <t>Envoyée</t>
  </si>
  <si>
    <t>Reçu</t>
  </si>
  <si>
    <t>Date d'envoi</t>
  </si>
  <si>
    <t>Clément</t>
  </si>
  <si>
    <t>Laureen</t>
  </si>
  <si>
    <t>ENTRAINEMENTS EFFECTUÉ</t>
  </si>
  <si>
    <t>NOMBRE DE PARTICIPANT(S)</t>
  </si>
  <si>
    <t>Leutwyler</t>
  </si>
  <si>
    <t>AGE MOYEN</t>
  </si>
  <si>
    <t>Sébastien</t>
  </si>
  <si>
    <t>Steve</t>
  </si>
  <si>
    <t>Berthod</t>
  </si>
  <si>
    <t>Gendre</t>
  </si>
  <si>
    <t>Saillant</t>
  </si>
  <si>
    <t>Marec</t>
  </si>
  <si>
    <t>Aymeric</t>
  </si>
  <si>
    <t>Bouchet</t>
  </si>
  <si>
    <t>Louis</t>
  </si>
  <si>
    <t>Morachon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</si>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</sst>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9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0" xfId="0" applyAlignment="1">
      <alignment horizontal="center" textRotation="45"/>
    </xf>
    <xf numFmtId="14" fontId="0" fillId="2" borderId="5" xfId="0" applyNumberFormat="1" applyFill="1" applyBorder="1" applyAlignment="1">
      <alignment horizontal="center" vertical="top" textRotation="45"/>
    </xf>
    <xf numFmtId="14" fontId="0" fillId="2" borderId="5" xfId="0" applyNumberFormat="1" applyFill="1" applyBorder="1" applyAlignment="1">
      <alignment horizontal="left" vertical="top" textRotation="45"/>
    </xf>
    <xf numFmtId="14" fontId="0" fillId="2" borderId="5" xfId="0" applyNumberFormat="1" applyFill="1" applyBorder="1" applyAlignment="1">
      <alignment horizontal="left" textRotation="45"/>
    </xf>
    <xf numFmtId="14" fontId="0" fillId="2" borderId="6" xfId="0" applyNumberFormat="1" applyFill="1" applyBorder="1" applyAlignment="1">
      <alignment horizontal="left" textRotation="45"/>
    </xf>
    <xf numFmtId="0" fontId="0" fillId="0" borderId="0" xfId="0" applyAlignment="1">
      <alignment horizontal="left" textRotation="45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0" fontId="0" fillId="0" borderId="5" xfId="0" applyNumberFormat="1" applyBorder="1"/>
    <xf numFmtId="0" fontId="0" fillId="0" borderId="1" xfId="0" applyBorder="1" applyAlignment="1">
      <alignment horizontal="center" vertical="center"/>
    </xf>
    <xf numFmtId="10" fontId="0" fillId="0" borderId="1" xfId="0" applyNumberFormat="1" applyBorder="1"/>
    <xf numFmtId="0" fontId="0" fillId="0" borderId="7" xfId="0" applyBorder="1"/>
    <xf numFmtId="0" fontId="0" fillId="0" borderId="8" xfId="0" applyBorder="1"/>
    <xf numFmtId="20" fontId="0" fillId="0" borderId="0" xfId="0" applyNumberFormat="1"/>
    <xf numFmtId="14" fontId="0" fillId="0" borderId="1" xfId="0" applyNumberFormat="1" applyBorder="1"/>
    <xf numFmtId="0" fontId="1" fillId="3" borderId="1" xfId="0" applyFont="1" applyFill="1" applyBorder="1" applyAlignment="1">
      <alignment horizontal="center"/>
    </xf>
    <xf numFmtId="0" fontId="0" fillId="0" borderId="1" xfId="0" applyNumberFormat="1" applyBorder="1"/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4" xfId="0" applyFill="1" applyBorder="1" applyAlignment="1">
      <alignment horizontal="left" vertical="top" textRotation="45"/>
    </xf>
    <xf numFmtId="0" fontId="0" fillId="0" borderId="0" xfId="0" applyBorder="1"/>
    <xf numFmtId="0" fontId="0" fillId="0" borderId="1" xfId="0" applyNumberFormat="1" applyBorder="1" applyAlignment="1">
      <alignment horizontal="center"/>
    </xf>
    <xf numFmtId="0" fontId="0" fillId="0" borderId="2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0" fontId="3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1">
    <cellStyle name="Normal" xfId="0" builtinId="0"/>
  </cellStyles>
  <dxfs count="65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9" tint="0.39997558519241921"/>
        </patternFill>
      </fill>
      <alignment horizontal="left" vertical="bottom" textRotation="45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Pres_entrainement" displayName="Pres_entrainement" ref="A1:AZ20" totalsRowShown="0" headerRowDxfId="64" headerRowBorderDxfId="63" tableBorderDxfId="62" totalsRowBorderDxfId="61">
  <autoFilter ref="A1:AZ20"/>
  <sortState ref="A2:AZ20">
    <sortCondition ref="B2:B20"/>
  </sortState>
  <tableColumns count="52">
    <tableColumn id="53" name="N°" dataDxfId="0">
      <calculatedColumnFormula>ROW(Pres_entrainement[[#This Row],[JOUEUR]])-1</calculatedColumnFormula>
    </tableColumn>
    <tableColumn id="1" name="JOUEUR" dataDxfId="60">
      <calculatedColumnFormula>VLOOKUP(Pres_entrainement[[#This Row],[N°]],#REF!,2,FALSE)&amp;". "&amp;LEFT(VLOOKUP(Pres_entrainement[[#This Row],[N°]],#REF!,3,FALSE),1)</calculatedColumnFormula>
    </tableColumn>
    <tableColumn id="50" name="TOTAL" dataDxfId="59">
      <calculatedColumnFormula>COUNTIF(Pres_entrainement[[#This Row],[01/09/2017]:[27/07/2018]],"X")</calculatedColumnFormula>
    </tableColumn>
    <tableColumn id="51" name="%" dataDxfId="58">
      <calculatedColumnFormula>ROUND(Pres_entrainement[[#This Row],[TOTAL]]/$D$23,2)</calculatedColumnFormula>
    </tableColumn>
    <tableColumn id="2" name="01/09/2017" dataDxfId="57"/>
    <tableColumn id="3" name="08/09/2017" dataDxfId="56"/>
    <tableColumn id="4" name="15/09/2017" dataDxfId="55"/>
    <tableColumn id="5" name="22/09/2017" dataDxfId="54"/>
    <tableColumn id="6" name="29/09/2017" dataDxfId="53"/>
    <tableColumn id="7" name="06/10/2017" dataDxfId="52"/>
    <tableColumn id="8" name="13/10/2017" dataDxfId="51"/>
    <tableColumn id="9" name="20/10/2017" dataDxfId="50"/>
    <tableColumn id="10" name="27/10/2017" dataDxfId="49"/>
    <tableColumn id="11" name="03/11/2017" dataDxfId="48"/>
    <tableColumn id="12" name="10/11/2017" dataDxfId="47"/>
    <tableColumn id="13" name="17/11/2017" dataDxfId="46"/>
    <tableColumn id="14" name="24/11/2017" dataDxfId="45"/>
    <tableColumn id="15" name="01/12/2017" dataDxfId="44"/>
    <tableColumn id="16" name="08/12/2017" dataDxfId="43"/>
    <tableColumn id="17" name="15/12/2017" dataDxfId="42"/>
    <tableColumn id="18" name="22/12/2017" dataDxfId="41"/>
    <tableColumn id="19" name="29/12/2017" dataDxfId="40"/>
    <tableColumn id="20" name="05/01/2018" dataDxfId="39"/>
    <tableColumn id="21" name="12/01/2018" dataDxfId="38"/>
    <tableColumn id="22" name="19/01/2018" dataDxfId="37"/>
    <tableColumn id="23" name="26/01/2018" dataDxfId="36"/>
    <tableColumn id="24" name="02/02/2018" dataDxfId="35"/>
    <tableColumn id="25" name="09/02/2018" dataDxfId="34"/>
    <tableColumn id="26" name="16/02/2018" dataDxfId="33"/>
    <tableColumn id="27" name="23/02/2018" dataDxfId="32"/>
    <tableColumn id="28" name="02/03/2018" dataDxfId="31"/>
    <tableColumn id="29" name="09/03/2018" dataDxfId="30"/>
    <tableColumn id="30" name="16/03/2018" dataDxfId="29"/>
    <tableColumn id="31" name="23/03/2018" dataDxfId="28"/>
    <tableColumn id="32" name="30/03/2018" dataDxfId="27"/>
    <tableColumn id="33" name="06/04/2018" dataDxfId="26"/>
    <tableColumn id="34" name="13/04/2018" dataDxfId="25"/>
    <tableColumn id="35" name="20/04/2018" dataDxfId="24"/>
    <tableColumn id="36" name="27/04/2018" dataDxfId="23"/>
    <tableColumn id="37" name="04/05/2018" dataDxfId="22"/>
    <tableColumn id="38" name="11/05/2018" dataDxfId="21"/>
    <tableColumn id="39" name="18/05/2018" dataDxfId="20"/>
    <tableColumn id="40" name="25/05/2018" dataDxfId="19"/>
    <tableColumn id="41" name="01/06/2018" dataDxfId="18"/>
    <tableColumn id="42" name="08/06/2018" dataDxfId="17"/>
    <tableColumn id="43" name="15/06/2018" dataDxfId="16"/>
    <tableColumn id="44" name="22/06/2018" dataDxfId="15"/>
    <tableColumn id="45" name="29/06/2018" dataDxfId="14"/>
    <tableColumn id="46" name="06/07/2018" dataDxfId="13"/>
    <tableColumn id="47" name="13/07/2018" dataDxfId="12"/>
    <tableColumn id="48" name="20/07/2018" dataDxfId="11"/>
    <tableColumn id="49" name="27/07/2018" dataDxfId="10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1" name="Licence" displayName="Licence" ref="A3:J22" totalsRowShown="0" headerRowDxfId="9">
  <autoFilter ref="A3:J22"/>
  <sortState ref="A4:J22">
    <sortCondition ref="B4:B22"/>
    <sortCondition ref="C4:C22"/>
  </sortState>
  <tableColumns count="10">
    <tableColumn id="11" name="N°" dataDxfId="1">
      <calculatedColumnFormula>ROW(Licence[[#This Row],[Prénom]])-3</calculatedColumnFormula>
    </tableColumn>
    <tableColumn id="1" name="Prénom" dataDxfId="8"/>
    <tableColumn id="2" name="Nom" dataDxfId="7"/>
    <tableColumn id="3" name="Date de naissance" dataDxfId="6"/>
    <tableColumn id="4" name="Age" dataDxfId="5">
      <calculatedColumnFormula>IF(Licence[[#This Row],[Date de naissance]]="","",ROUNDDOWN((TODAY()-Licence[[#This Row],[Date de naissance]])/365,0))</calculatedColumnFormula>
    </tableColumn>
    <tableColumn id="5" name="Certificat" dataDxfId="4"/>
    <tableColumn id="6" name="Surclassement" dataDxfId="3"/>
    <tableColumn id="7" name="Licence"/>
    <tableColumn id="9" name="Date d'envoi" dataDxfId="2"/>
    <tableColumn id="8" name="Payemen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39" sqref="F3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31" sqref="E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A41"/>
  <sheetViews>
    <sheetView showGridLines="0" zoomScale="70" zoomScaleNormal="70" workbookViewId="0">
      <selection activeCell="E30" sqref="E30"/>
    </sheetView>
  </sheetViews>
  <sheetFormatPr baseColWidth="10" defaultRowHeight="15" x14ac:dyDescent="0.25"/>
  <cols>
    <col min="1" max="1" width="8.85546875" bestFit="1" customWidth="1"/>
    <col min="2" max="2" width="16.7109375" customWidth="1"/>
    <col min="3" max="3" width="10.7109375" customWidth="1"/>
    <col min="4" max="4" width="13.7109375" customWidth="1"/>
    <col min="5" max="52" width="11.7109375" customWidth="1"/>
  </cols>
  <sheetData>
    <row r="1" spans="1:53" s="9" customFormat="1" ht="49.5" x14ac:dyDescent="0.25">
      <c r="A1" s="7" t="s">
        <v>112</v>
      </c>
      <c r="B1" s="23" t="s">
        <v>49</v>
      </c>
      <c r="C1" s="6" t="s">
        <v>0</v>
      </c>
      <c r="D1" s="5" t="s">
        <v>50</v>
      </c>
      <c r="E1" s="7" t="s">
        <v>1</v>
      </c>
      <c r="F1" s="7" t="s">
        <v>2</v>
      </c>
      <c r="G1" s="7" t="s">
        <v>3</v>
      </c>
      <c r="H1" s="7" t="s">
        <v>4</v>
      </c>
      <c r="I1" s="7" t="s">
        <v>5</v>
      </c>
      <c r="J1" s="7" t="s">
        <v>6</v>
      </c>
      <c r="K1" s="7" t="s">
        <v>7</v>
      </c>
      <c r="L1" s="7" t="s">
        <v>8</v>
      </c>
      <c r="M1" s="7" t="s">
        <v>9</v>
      </c>
      <c r="N1" s="7" t="s">
        <v>10</v>
      </c>
      <c r="O1" s="7" t="s">
        <v>11</v>
      </c>
      <c r="P1" s="7" t="s">
        <v>12</v>
      </c>
      <c r="Q1" s="7" t="s">
        <v>13</v>
      </c>
      <c r="R1" s="7" t="s">
        <v>14</v>
      </c>
      <c r="S1" s="7" t="s">
        <v>15</v>
      </c>
      <c r="T1" s="7" t="s">
        <v>16</v>
      </c>
      <c r="U1" s="7" t="s">
        <v>17</v>
      </c>
      <c r="V1" s="7" t="s">
        <v>18</v>
      </c>
      <c r="W1" s="7" t="s">
        <v>19</v>
      </c>
      <c r="X1" s="7" t="s">
        <v>20</v>
      </c>
      <c r="Y1" s="7" t="s">
        <v>21</v>
      </c>
      <c r="Z1" s="7" t="s">
        <v>22</v>
      </c>
      <c r="AA1" s="7" t="s">
        <v>23</v>
      </c>
      <c r="AB1" s="7" t="s">
        <v>24</v>
      </c>
      <c r="AC1" s="7" t="s">
        <v>25</v>
      </c>
      <c r="AD1" s="7" t="s">
        <v>26</v>
      </c>
      <c r="AE1" s="7" t="s">
        <v>27</v>
      </c>
      <c r="AF1" s="7" t="s">
        <v>28</v>
      </c>
      <c r="AG1" s="7" t="s">
        <v>29</v>
      </c>
      <c r="AH1" s="7" t="s">
        <v>30</v>
      </c>
      <c r="AI1" s="7" t="s">
        <v>31</v>
      </c>
      <c r="AJ1" s="7" t="s">
        <v>32</v>
      </c>
      <c r="AK1" s="7" t="s">
        <v>33</v>
      </c>
      <c r="AL1" s="7" t="s">
        <v>34</v>
      </c>
      <c r="AM1" s="7" t="s">
        <v>35</v>
      </c>
      <c r="AN1" s="7" t="s">
        <v>36</v>
      </c>
      <c r="AO1" s="7" t="s">
        <v>37</v>
      </c>
      <c r="AP1" s="7" t="s">
        <v>38</v>
      </c>
      <c r="AQ1" s="7" t="s">
        <v>39</v>
      </c>
      <c r="AR1" s="7" t="s">
        <v>40</v>
      </c>
      <c r="AS1" s="7" t="s">
        <v>41</v>
      </c>
      <c r="AT1" s="7" t="s">
        <v>42</v>
      </c>
      <c r="AU1" s="7" t="s">
        <v>43</v>
      </c>
      <c r="AV1" s="7" t="s">
        <v>44</v>
      </c>
      <c r="AW1" s="7" t="s">
        <v>45</v>
      </c>
      <c r="AX1" s="7" t="s">
        <v>46</v>
      </c>
      <c r="AY1" s="7" t="s">
        <v>47</v>
      </c>
      <c r="AZ1" s="8" t="s">
        <v>48</v>
      </c>
      <c r="BA1" s="4"/>
    </row>
    <row r="2" spans="1:53" x14ac:dyDescent="0.25">
      <c r="A2" s="21">
        <f>ROW(Pres_entrainement[[#This Row],[JOUEUR]])-1</f>
        <v>1</v>
      </c>
      <c r="B2" s="2" t="str">
        <f>VLOOKUP(Pres_entrainement[[#This Row],[N°]],Licence[[N°]:[Nom]],2,FALSE)&amp;". "&amp;LEFT(VLOOKUP(Pres_entrainement[[#This Row],[N°]],Licence[[N°]:[Nom]],3,FALSE),1)</f>
        <v>Anatole. B</v>
      </c>
      <c r="C2" s="3">
        <f>COUNTIF(Pres_entrainement[[#This Row],[01/09/2017]:[27/07/2018]],"X")</f>
        <v>3</v>
      </c>
      <c r="D2" s="12">
        <f>ROUND(Pres_entrainement[[#This Row],[TOTAL]]/$D$23,2)</f>
        <v>1</v>
      </c>
      <c r="E2" s="10" t="s">
        <v>74</v>
      </c>
      <c r="F2" s="10" t="s">
        <v>74</v>
      </c>
      <c r="G2" s="10" t="s">
        <v>74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</row>
    <row r="3" spans="1:53" x14ac:dyDescent="0.25">
      <c r="A3" s="10">
        <f>ROW(Pres_entrainement[[#This Row],[JOUEUR]])-1</f>
        <v>2</v>
      </c>
      <c r="B3" s="2" t="str">
        <f>VLOOKUP(Pres_entrainement[[#This Row],[N°]],Licence[[N°]:[Nom]],2,FALSE)&amp;". "&amp;LEFT(VLOOKUP(Pres_entrainement[[#This Row],[N°]],Licence[[N°]:[Nom]],3,FALSE),1)</f>
        <v>Anthony. S</v>
      </c>
      <c r="C3" s="1">
        <f>COUNTIF(Pres_entrainement[[#This Row],[01/09/2017]:[27/07/2018]],"X")</f>
        <v>3</v>
      </c>
      <c r="D3" s="12">
        <f>ROUND(Pres_entrainement[[#This Row],[TOTAL]]/$D$23,2)</f>
        <v>1</v>
      </c>
      <c r="E3" s="10" t="s">
        <v>74</v>
      </c>
      <c r="F3" s="10" t="s">
        <v>74</v>
      </c>
      <c r="G3" s="10" t="s">
        <v>74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1"/>
    </row>
    <row r="4" spans="1:53" x14ac:dyDescent="0.25">
      <c r="A4" s="10">
        <f>ROW(Pres_entrainement[[#This Row],[JOUEUR]])-1</f>
        <v>3</v>
      </c>
      <c r="B4" s="2" t="str">
        <f>VLOOKUP(Pres_entrainement[[#This Row],[N°]],Licence[[N°]:[Nom]],2,FALSE)&amp;". "&amp;LEFT(VLOOKUP(Pres_entrainement[[#This Row],[N°]],Licence[[N°]:[Nom]],3,FALSE),1)</f>
        <v>Aymeric. B</v>
      </c>
      <c r="C4" s="20">
        <f>COUNTIF(Pres_entrainement[[#This Row],[01/09/2017]:[27/07/2018]],"X")</f>
        <v>1</v>
      </c>
      <c r="D4" s="12">
        <f>ROUND(Pres_entrainement[[#This Row],[TOTAL]]/$D$23,2)</f>
        <v>0.33</v>
      </c>
      <c r="E4" s="10"/>
      <c r="F4" s="10"/>
      <c r="G4" s="10" t="s">
        <v>74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1"/>
    </row>
    <row r="5" spans="1:53" x14ac:dyDescent="0.25">
      <c r="A5" s="10">
        <f>ROW(Pres_entrainement[[#This Row],[JOUEUR]])-1</f>
        <v>4</v>
      </c>
      <c r="B5" s="2" t="str">
        <f>VLOOKUP(Pres_entrainement[[#This Row],[N°]],Licence[[N°]:[Nom]],2,FALSE)&amp;". "&amp;LEFT(VLOOKUP(Pres_entrainement[[#This Row],[N°]],Licence[[N°]:[Nom]],3,FALSE),1)</f>
        <v>Bruno. V</v>
      </c>
      <c r="C5" s="1">
        <f>COUNTIF(Pres_entrainement[[#This Row],[01/09/2017]:[27/07/2018]],"X")</f>
        <v>1</v>
      </c>
      <c r="D5" s="12">
        <f>ROUND(Pres_entrainement[[#This Row],[TOTAL]]/$D$23,2)</f>
        <v>0.33</v>
      </c>
      <c r="E5" s="10" t="s">
        <v>74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1"/>
    </row>
    <row r="6" spans="1:53" x14ac:dyDescent="0.25">
      <c r="A6" s="10">
        <f>ROW(Pres_entrainement[[#This Row],[JOUEUR]])-1</f>
        <v>5</v>
      </c>
      <c r="B6" s="2" t="str">
        <f>VLOOKUP(Pres_entrainement[[#This Row],[N°]],Licence[[N°]:[Nom]],2,FALSE)&amp;". "&amp;LEFT(VLOOKUP(Pres_entrainement[[#This Row],[N°]],Licence[[N°]:[Nom]],3,FALSE),1)</f>
        <v>Clément. P</v>
      </c>
      <c r="C6" s="20">
        <f>COUNTIF(Pres_entrainement[[#This Row],[01/09/2017]:[27/07/2018]],"X")</f>
        <v>2</v>
      </c>
      <c r="D6" s="12">
        <f>ROUND(Pres_entrainement[[#This Row],[TOTAL]]/$D$23,2)</f>
        <v>0.67</v>
      </c>
      <c r="E6" s="10"/>
      <c r="F6" s="10" t="s">
        <v>74</v>
      </c>
      <c r="G6" s="10" t="s">
        <v>74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1"/>
    </row>
    <row r="7" spans="1:53" x14ac:dyDescent="0.25">
      <c r="A7" s="10">
        <f>ROW(Pres_entrainement[[#This Row],[JOUEUR]])-1</f>
        <v>6</v>
      </c>
      <c r="B7" s="2" t="str">
        <f>VLOOKUP(Pres_entrainement[[#This Row],[N°]],Licence[[N°]:[Nom]],2,FALSE)&amp;". "&amp;LEFT(VLOOKUP(Pres_entrainement[[#This Row],[N°]],Licence[[N°]:[Nom]],3,FALSE),1)</f>
        <v>Jérôme. P</v>
      </c>
      <c r="C7" s="1">
        <f>COUNTIF(Pres_entrainement[[#This Row],[01/09/2017]:[27/07/2018]],"X")</f>
        <v>3</v>
      </c>
      <c r="D7" s="12">
        <f>ROUND(Pres_entrainement[[#This Row],[TOTAL]]/$D$23,2)</f>
        <v>1</v>
      </c>
      <c r="E7" s="10" t="s">
        <v>74</v>
      </c>
      <c r="F7" s="10" t="s">
        <v>74</v>
      </c>
      <c r="G7" s="10" t="s">
        <v>74</v>
      </c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1"/>
    </row>
    <row r="8" spans="1:53" x14ac:dyDescent="0.25">
      <c r="A8" s="10">
        <f>ROW(Pres_entrainement[[#This Row],[JOUEUR]])-1</f>
        <v>7</v>
      </c>
      <c r="B8" s="2" t="str">
        <f>VLOOKUP(Pres_entrainement[[#This Row],[N°]],Licence[[N°]:[Nom]],2,FALSE)&amp;". "&amp;LEFT(VLOOKUP(Pres_entrainement[[#This Row],[N°]],Licence[[N°]:[Nom]],3,FALSE),1)</f>
        <v>Kevin. L</v>
      </c>
      <c r="C8" s="1">
        <f>COUNTIF(Pres_entrainement[[#This Row],[01/09/2017]:[27/07/2018]],"X")</f>
        <v>2</v>
      </c>
      <c r="D8" s="12">
        <f>ROUND(Pres_entrainement[[#This Row],[TOTAL]]/$D$23,2)</f>
        <v>0.67</v>
      </c>
      <c r="E8" s="10" t="s">
        <v>74</v>
      </c>
      <c r="F8" s="10" t="s">
        <v>74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1"/>
    </row>
    <row r="9" spans="1:53" x14ac:dyDescent="0.25">
      <c r="A9" s="10">
        <f>ROW(Pres_entrainement[[#This Row],[JOUEUR]])-1</f>
        <v>8</v>
      </c>
      <c r="B9" s="2" t="str">
        <f>VLOOKUP(Pres_entrainement[[#This Row],[N°]],Licence[[N°]:[Nom]],2,FALSE)&amp;". "&amp;LEFT(VLOOKUP(Pres_entrainement[[#This Row],[N°]],Licence[[N°]:[Nom]],3,FALSE),1)</f>
        <v>Laureen. L</v>
      </c>
      <c r="C9" s="20">
        <f>COUNTIF(Pres_entrainement[[#This Row],[01/09/2017]:[27/07/2018]],"X")</f>
        <v>1</v>
      </c>
      <c r="D9" s="12">
        <f>ROUND(Pres_entrainement[[#This Row],[TOTAL]]/$D$23,2)</f>
        <v>0.33</v>
      </c>
      <c r="E9" s="10"/>
      <c r="F9" s="10" t="s">
        <v>74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1"/>
    </row>
    <row r="10" spans="1:53" x14ac:dyDescent="0.25">
      <c r="A10" s="10">
        <f>ROW(Pres_entrainement[[#This Row],[JOUEUR]])-1</f>
        <v>9</v>
      </c>
      <c r="B10" s="2" t="str">
        <f>VLOOKUP(Pres_entrainement[[#This Row],[N°]],Licence[[N°]:[Nom]],2,FALSE)&amp;". "&amp;LEFT(VLOOKUP(Pres_entrainement[[#This Row],[N°]],Licence[[N°]:[Nom]],3,FALSE),1)</f>
        <v>Laurent. R</v>
      </c>
      <c r="C10" s="1">
        <f>COUNTIF(Pres_entrainement[[#This Row],[01/09/2017]:[27/07/2018]],"X")</f>
        <v>2</v>
      </c>
      <c r="D10" s="12">
        <f>ROUND(Pres_entrainement[[#This Row],[TOTAL]]/$D$23,2)</f>
        <v>0.67</v>
      </c>
      <c r="E10" s="10" t="s">
        <v>74</v>
      </c>
      <c r="F10" s="10"/>
      <c r="G10" s="10" t="s">
        <v>74</v>
      </c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1"/>
    </row>
    <row r="11" spans="1:53" x14ac:dyDescent="0.25">
      <c r="A11" s="10">
        <f>ROW(Pres_entrainement[[#This Row],[JOUEUR]])-1</f>
        <v>10</v>
      </c>
      <c r="B11" s="2" t="str">
        <f>VLOOKUP(Pres_entrainement[[#This Row],[N°]],Licence[[N°]:[Nom]],2,FALSE)&amp;". "&amp;LEFT(VLOOKUP(Pres_entrainement[[#This Row],[N°]],Licence[[N°]:[Nom]],3,FALSE),1)</f>
        <v>Louis. M</v>
      </c>
      <c r="C11" s="20">
        <f>COUNTIF(Pres_entrainement[[#This Row],[01/09/2017]:[27/07/2018]],"X")</f>
        <v>1</v>
      </c>
      <c r="D11" s="12">
        <f>ROUND(Pres_entrainement[[#This Row],[TOTAL]]/$D$23,2)</f>
        <v>0.33</v>
      </c>
      <c r="E11" s="10"/>
      <c r="F11" s="10"/>
      <c r="G11" s="10" t="s">
        <v>74</v>
      </c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1"/>
    </row>
    <row r="12" spans="1:53" x14ac:dyDescent="0.25">
      <c r="A12" s="10">
        <f>ROW(Pres_entrainement[[#This Row],[JOUEUR]])-1</f>
        <v>11</v>
      </c>
      <c r="B12" s="2" t="str">
        <f>VLOOKUP(Pres_entrainement[[#This Row],[N°]],Licence[[N°]:[Nom]],2,FALSE)&amp;". "&amp;LEFT(VLOOKUP(Pres_entrainement[[#This Row],[N°]],Licence[[N°]:[Nom]],3,FALSE),1)</f>
        <v>Ludovic. S</v>
      </c>
      <c r="C12" s="1">
        <f>COUNTIF(Pres_entrainement[[#This Row],[01/09/2017]:[27/07/2018]],"X")</f>
        <v>3</v>
      </c>
      <c r="D12" s="12">
        <f>ROUND(Pres_entrainement[[#This Row],[TOTAL]]/$D$23,2)</f>
        <v>1</v>
      </c>
      <c r="E12" s="10" t="s">
        <v>74</v>
      </c>
      <c r="F12" s="10" t="s">
        <v>74</v>
      </c>
      <c r="G12" s="10" t="s">
        <v>74</v>
      </c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1"/>
    </row>
    <row r="13" spans="1:53" x14ac:dyDescent="0.25">
      <c r="A13" s="10">
        <f>ROW(Pres_entrainement[[#This Row],[JOUEUR]])-1</f>
        <v>12</v>
      </c>
      <c r="B13" s="2" t="str">
        <f>VLOOKUP(Pres_entrainement[[#This Row],[N°]],Licence[[N°]:[Nom]],2,FALSE)&amp;". "&amp;LEFT(VLOOKUP(Pres_entrainement[[#This Row],[N°]],Licence[[N°]:[Nom]],3,FALSE),1)</f>
        <v>Marec. S</v>
      </c>
      <c r="C13" s="20">
        <f>COUNTIF(Pres_entrainement[[#This Row],[01/09/2017]:[27/07/2018]],"X")</f>
        <v>1</v>
      </c>
      <c r="D13" s="14">
        <f>ROUND(Pres_entrainement[[#This Row],[TOTAL]]/$D$23,2)</f>
        <v>0.33</v>
      </c>
      <c r="E13" s="10"/>
      <c r="F13" s="10"/>
      <c r="G13" s="10" t="s">
        <v>74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1"/>
    </row>
    <row r="14" spans="1:53" x14ac:dyDescent="0.25">
      <c r="A14" s="10">
        <f>ROW(Pres_entrainement[[#This Row],[JOUEUR]])-1</f>
        <v>13</v>
      </c>
      <c r="B14" s="2" t="str">
        <f>VLOOKUP(Pres_entrainement[[#This Row],[N°]],Licence[[N°]:[Nom]],2,FALSE)&amp;". "&amp;LEFT(VLOOKUP(Pres_entrainement[[#This Row],[N°]],Licence[[N°]:[Nom]],3,FALSE),1)</f>
        <v>Sébastien. B</v>
      </c>
      <c r="C14" s="20">
        <f>COUNTIF(Pres_entrainement[[#This Row],[01/09/2017]:[27/07/2018]],"X")</f>
        <v>1</v>
      </c>
      <c r="D14" s="12">
        <f>ROUND(Pres_entrainement[[#This Row],[TOTAL]]/$D$23,2)</f>
        <v>0.33</v>
      </c>
      <c r="E14" s="10"/>
      <c r="F14" s="10"/>
      <c r="G14" s="10" t="s">
        <v>74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1"/>
    </row>
    <row r="15" spans="1:53" x14ac:dyDescent="0.25">
      <c r="A15" s="10">
        <f>ROW(Pres_entrainement[[#This Row],[JOUEUR]])-1</f>
        <v>14</v>
      </c>
      <c r="B15" s="2" t="str">
        <f>VLOOKUP(Pres_entrainement[[#This Row],[N°]],Licence[[N°]:[Nom]],2,FALSE)&amp;". "&amp;LEFT(VLOOKUP(Pres_entrainement[[#This Row],[N°]],Licence[[N°]:[Nom]],3,FALSE),1)</f>
        <v>Sofia. S</v>
      </c>
      <c r="C15" s="1">
        <f>COUNTIF(Pres_entrainement[[#This Row],[01/09/2017]:[27/07/2018]],"X")</f>
        <v>2</v>
      </c>
      <c r="D15" s="14">
        <f>ROUND(Pres_entrainement[[#This Row],[TOTAL]]/$D$23,2)</f>
        <v>0.67</v>
      </c>
      <c r="E15" s="10" t="s">
        <v>74</v>
      </c>
      <c r="F15" s="10"/>
      <c r="G15" s="10" t="s">
        <v>74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1"/>
    </row>
    <row r="16" spans="1:53" x14ac:dyDescent="0.25">
      <c r="A16" s="10">
        <f>ROW(Pres_entrainement[[#This Row],[JOUEUR]])-1</f>
        <v>15</v>
      </c>
      <c r="B16" s="2" t="str">
        <f>VLOOKUP(Pres_entrainement[[#This Row],[N°]],Licence[[N°]:[Nom]],2,FALSE)&amp;". "&amp;LEFT(VLOOKUP(Pres_entrainement[[#This Row],[N°]],Licence[[N°]:[Nom]],3,FALSE),1)</f>
        <v>Steve. G</v>
      </c>
      <c r="C16" s="20">
        <f>COUNTIF(Pres_entrainement[[#This Row],[01/09/2017]:[27/07/2018]],"X")</f>
        <v>1</v>
      </c>
      <c r="D16" s="12">
        <f>ROUND(Pres_entrainement[[#This Row],[TOTAL]]/$D$23,2)</f>
        <v>0.33</v>
      </c>
      <c r="E16" s="10"/>
      <c r="F16" s="10"/>
      <c r="G16" s="10" t="s">
        <v>74</v>
      </c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1"/>
    </row>
    <row r="17" spans="1:52" x14ac:dyDescent="0.25">
      <c r="A17" s="10">
        <f>ROW(Pres_entrainement[[#This Row],[JOUEUR]])-1</f>
        <v>16</v>
      </c>
      <c r="B17" s="2" t="str">
        <f>VLOOKUP(Pres_entrainement[[#This Row],[N°]],Licence[[N°]:[Nom]],2,FALSE)&amp;". "&amp;LEFT(VLOOKUP(Pres_entrainement[[#This Row],[N°]],Licence[[N°]:[Nom]],3,FALSE),1)</f>
        <v>Théo. D</v>
      </c>
      <c r="C17" s="1">
        <f>COUNTIF(Pres_entrainement[[#This Row],[01/09/2017]:[27/07/2018]],"X")</f>
        <v>3</v>
      </c>
      <c r="D17" s="12">
        <f>ROUND(Pres_entrainement[[#This Row],[TOTAL]]/$D$23,2)</f>
        <v>1</v>
      </c>
      <c r="E17" s="10" t="s">
        <v>74</v>
      </c>
      <c r="F17" s="10" t="s">
        <v>74</v>
      </c>
      <c r="G17" s="10" t="s">
        <v>74</v>
      </c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1"/>
    </row>
    <row r="18" spans="1:52" x14ac:dyDescent="0.25">
      <c r="A18" s="10">
        <f>ROW(Pres_entrainement[[#This Row],[JOUEUR]])-1</f>
        <v>17</v>
      </c>
      <c r="B18" s="2" t="str">
        <f>VLOOKUP(Pres_entrainement[[#This Row],[N°]],Licence[[N°]:[Nom]],2,FALSE)&amp;". "&amp;LEFT(VLOOKUP(Pres_entrainement[[#This Row],[N°]],Licence[[N°]:[Nom]],3,FALSE),1)</f>
        <v>Thomas. B</v>
      </c>
      <c r="C18" s="1">
        <f>COUNTIF(Pres_entrainement[[#This Row],[01/09/2017]:[27/07/2018]],"X")</f>
        <v>3</v>
      </c>
      <c r="D18" s="12">
        <f>ROUND(Pres_entrainement[[#This Row],[TOTAL]]/$D$23,2)</f>
        <v>1</v>
      </c>
      <c r="E18" s="10" t="s">
        <v>74</v>
      </c>
      <c r="F18" s="10" t="s">
        <v>74</v>
      </c>
      <c r="G18" s="10" t="s">
        <v>74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1"/>
    </row>
    <row r="19" spans="1:52" x14ac:dyDescent="0.25">
      <c r="A19" s="25">
        <f>ROW(Pres_entrainement[[#This Row],[JOUEUR]])-1</f>
        <v>18</v>
      </c>
      <c r="B19" s="26" t="str">
        <f>VLOOKUP(Pres_entrainement[[#This Row],[N°]],Licence[[N°]:[Nom]],2,FALSE)&amp;". "&amp;LEFT(VLOOKUP(Pres_entrainement[[#This Row],[N°]],Licence[[N°]:[Nom]],3,FALSE),1)</f>
        <v>Timothée. G</v>
      </c>
      <c r="C19" s="20">
        <f>COUNTIF(Pres_entrainement[[#This Row],[01/09/2017]:[27/07/2018]],"X")</f>
        <v>3</v>
      </c>
      <c r="D19" s="12">
        <f>ROUND(Pres_entrainement[[#This Row],[TOTAL]]/$D$23,2)</f>
        <v>1</v>
      </c>
      <c r="E19" s="10" t="s">
        <v>74</v>
      </c>
      <c r="F19" s="10" t="s">
        <v>74</v>
      </c>
      <c r="G19" s="10" t="s">
        <v>74</v>
      </c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1"/>
    </row>
    <row r="20" spans="1:52" x14ac:dyDescent="0.25">
      <c r="A20" s="22">
        <f>ROW(Pres_entrainement[[#This Row],[JOUEUR]])-1</f>
        <v>19</v>
      </c>
      <c r="B20" s="2" t="str">
        <f>VLOOKUP(Pres_entrainement[[#This Row],[N°]],Licence[[N°]:[Nom]],2,FALSE)&amp;". "&amp;LEFT(VLOOKUP(Pres_entrainement[[#This Row],[N°]],Licence[[N°]:[Nom]],3,FALSE),1)</f>
        <v>Vincent. C</v>
      </c>
      <c r="C20" s="1">
        <f>COUNTIF(Pres_entrainement[[#This Row],[01/09/2017]:[27/07/2018]],"X")</f>
        <v>3</v>
      </c>
      <c r="D20" s="12">
        <f>ROUND(Pres_entrainement[[#This Row],[TOTAL]]/$D$23,2)</f>
        <v>1</v>
      </c>
      <c r="E20" s="10" t="s">
        <v>74</v>
      </c>
      <c r="F20" s="10" t="s">
        <v>74</v>
      </c>
      <c r="G20" s="10" t="s">
        <v>74</v>
      </c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1"/>
    </row>
    <row r="22" spans="1:52" ht="30" customHeight="1" x14ac:dyDescent="0.25">
      <c r="B22" s="27" t="s">
        <v>98</v>
      </c>
      <c r="C22" s="27"/>
      <c r="D22" s="27"/>
      <c r="E22" s="13" t="s">
        <v>74</v>
      </c>
      <c r="F22" s="13" t="s">
        <v>74</v>
      </c>
      <c r="G22" s="13" t="s">
        <v>74</v>
      </c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</row>
    <row r="23" spans="1:52" ht="15" customHeight="1" x14ac:dyDescent="0.25">
      <c r="B23" s="28" t="s">
        <v>0</v>
      </c>
      <c r="C23" s="28"/>
      <c r="D23" s="13">
        <f>COUNTIF(E22:AX22,"x")</f>
        <v>3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</row>
    <row r="24" spans="1:52" ht="15" customHeight="1" x14ac:dyDescent="0.25">
      <c r="D24" s="24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</row>
    <row r="25" spans="1:52" ht="30" customHeight="1" x14ac:dyDescent="0.25">
      <c r="B25" s="27" t="s">
        <v>99</v>
      </c>
      <c r="C25" s="27"/>
      <c r="D25" s="27"/>
      <c r="E25" s="13">
        <f>IF(E22="","",COUNTIF(Pres_entrainement[01/09/2017],"X"))</f>
        <v>12</v>
      </c>
      <c r="F25" s="13">
        <f>IF(F22="","",COUNTIF(Pres_entrainement[08/09/2017],"X"))</f>
        <v>11</v>
      </c>
      <c r="G25" s="13">
        <f>IF(G22="","",COUNTIF(Pres_entrainement[15/09/2017],"X"))</f>
        <v>16</v>
      </c>
      <c r="H25" s="13" t="str">
        <f>IF(H22="","",COUNTIF(Pres_entrainement[22/09/2017],"X"))</f>
        <v/>
      </c>
      <c r="I25" s="13" t="str">
        <f>IF(I22="","",COUNTIF(Pres_entrainement[29/09/2017],"X"))</f>
        <v/>
      </c>
      <c r="J25" s="13" t="str">
        <f>IF(J22="","",COUNTIF(Pres_entrainement[06/10/2017],"X"))</f>
        <v/>
      </c>
      <c r="K25" s="13" t="str">
        <f>IF(K22="","",COUNTIF(Pres_entrainement[13/10/2017],"X"))</f>
        <v/>
      </c>
      <c r="L25" s="13" t="str">
        <f>IF(L22="","",COUNTIF(Pres_entrainement[20/10/2017],"X"))</f>
        <v/>
      </c>
      <c r="M25" s="13" t="str">
        <f>IF(M22="","",COUNTIF(Pres_entrainement[27/10/2017],"X"))</f>
        <v/>
      </c>
      <c r="N25" s="13" t="str">
        <f>IF(N22="","",COUNTIF(Pres_entrainement[03/11/2017],"X"))</f>
        <v/>
      </c>
      <c r="O25" s="13" t="str">
        <f>IF(O22="","",COUNTIF(Pres_entrainement[10/11/2017],"X"))</f>
        <v/>
      </c>
      <c r="P25" s="13" t="str">
        <f>IF(P22="","",COUNTIF(Pres_entrainement[17/11/2017],"X"))</f>
        <v/>
      </c>
      <c r="Q25" s="13" t="str">
        <f>IF(Q22="","",COUNTIF(Pres_entrainement[24/11/2017],"X"))</f>
        <v/>
      </c>
      <c r="R25" s="13" t="str">
        <f>IF(R22="","",COUNTIF(Pres_entrainement[01/12/2017],"X"))</f>
        <v/>
      </c>
      <c r="S25" s="13" t="str">
        <f>IF(S22="","",COUNTIF(Pres_entrainement[08/12/2017],"X"))</f>
        <v/>
      </c>
      <c r="T25" s="13" t="str">
        <f>IF(T22="","",COUNTIF(Pres_entrainement[15/12/2017],"X"))</f>
        <v/>
      </c>
      <c r="U25" s="13" t="str">
        <f>IF(U22="","",COUNTIF(Pres_entrainement[22/12/2017],"X"))</f>
        <v/>
      </c>
      <c r="V25" s="13" t="str">
        <f>IF(V22="","",COUNTIF(Pres_entrainement[29/12/2017],"X"))</f>
        <v/>
      </c>
      <c r="W25" s="13" t="str">
        <f>IF(W22="","",COUNTIF(Pres_entrainement[05/01/2018],"X"))</f>
        <v/>
      </c>
      <c r="X25" s="13" t="str">
        <f>IF(X22="","",COUNTIF(Pres_entrainement[12/01/2018],"X"))</f>
        <v/>
      </c>
      <c r="Y25" s="13" t="str">
        <f>IF(Y22="","",COUNTIF(Pres_entrainement[19/01/2018],"X"))</f>
        <v/>
      </c>
      <c r="Z25" s="13" t="str">
        <f>IF(Z22="","",COUNTIF(Pres_entrainement[26/01/2018],"X"))</f>
        <v/>
      </c>
      <c r="AA25" s="13" t="str">
        <f>IF(AA22="","",COUNTIF(Pres_entrainement[02/02/2018],"X"))</f>
        <v/>
      </c>
      <c r="AB25" s="13" t="str">
        <f>IF(AB22="","",COUNTIF(Pres_entrainement[09/02/2018],"X"))</f>
        <v/>
      </c>
      <c r="AC25" s="13" t="str">
        <f>IF(AC22="","",COUNTIF(Pres_entrainement[16/02/2018],"X"))</f>
        <v/>
      </c>
      <c r="AD25" s="13" t="str">
        <f>IF(AD22="","",COUNTIF(Pres_entrainement[23/02/2018],"X"))</f>
        <v/>
      </c>
      <c r="AE25" s="13" t="str">
        <f>IF(AE22="","",COUNTIF(Pres_entrainement[02/03/2018],"X"))</f>
        <v/>
      </c>
      <c r="AF25" s="13" t="str">
        <f>IF(AF22="","",COUNTIF(Pres_entrainement[09/03/2018],"X"))</f>
        <v/>
      </c>
      <c r="AG25" s="13" t="str">
        <f>IF(AG22="","",COUNTIF(Pres_entrainement[16/03/2018],"X"))</f>
        <v/>
      </c>
      <c r="AH25" s="13" t="str">
        <f>IF(AH22="","",COUNTIF(Pres_entrainement[23/03/2018],"X"))</f>
        <v/>
      </c>
      <c r="AI25" s="13" t="str">
        <f>IF(AI22="","",COUNTIF(Pres_entrainement[30/03/2018],"X"))</f>
        <v/>
      </c>
      <c r="AJ25" s="13" t="str">
        <f>IF(AJ22="","",COUNTIF(Pres_entrainement[06/04/2018],"X"))</f>
        <v/>
      </c>
      <c r="AK25" s="13" t="str">
        <f>IF(AK22="","",COUNTIF(Pres_entrainement[13/04/2018],"X"))</f>
        <v/>
      </c>
      <c r="AL25" s="13" t="str">
        <f>IF(AL22="","",COUNTIF(Pres_entrainement[20/04/2018],"X"))</f>
        <v/>
      </c>
      <c r="AM25" s="13" t="str">
        <f>IF(AM22="","",COUNTIF(Pres_entrainement[27/04/2018],"X"))</f>
        <v/>
      </c>
      <c r="AN25" s="13" t="str">
        <f>IF(AN22="","",COUNTIF(Pres_entrainement[04/05/2018],"X"))</f>
        <v/>
      </c>
      <c r="AO25" s="13" t="str">
        <f>IF(AO22="","",COUNTIF(Pres_entrainement[11/05/2018],"X"))</f>
        <v/>
      </c>
      <c r="AP25" s="13" t="str">
        <f>IF(AP22="","",COUNTIF(Pres_entrainement[18/05/2018],"X"))</f>
        <v/>
      </c>
      <c r="AQ25" s="13" t="str">
        <f>IF(AQ22="","",COUNTIF(Pres_entrainement[25/05/2018],"X"))</f>
        <v/>
      </c>
      <c r="AR25" s="13" t="str">
        <f>IF(AR22="","",COUNTIF(Pres_entrainement[01/06/2018],"X"))</f>
        <v/>
      </c>
      <c r="AS25" s="13" t="str">
        <f>IF(AS22="","",COUNTIF(Pres_entrainement[08/06/2018],"X"))</f>
        <v/>
      </c>
      <c r="AT25" s="13" t="str">
        <f>IF(AT22="","",COUNTIF(Pres_entrainement[15/06/2018],"X"))</f>
        <v/>
      </c>
      <c r="AU25" s="13" t="str">
        <f>IF(AU22="","",COUNTIF(Pres_entrainement[22/06/2018],"X"))</f>
        <v/>
      </c>
      <c r="AV25" s="13" t="str">
        <f>IF(AV22="","",COUNTIF(Pres_entrainement[29/06/2018],"X"))</f>
        <v/>
      </c>
      <c r="AW25" s="13" t="str">
        <f>IF(AW22="","",COUNTIF(Pres_entrainement[06/07/2018],"X"))</f>
        <v/>
      </c>
      <c r="AX25" s="13" t="str">
        <f>IF(AX22="","",COUNTIF(Pres_entrainement[13/07/2018],"X"))</f>
        <v/>
      </c>
      <c r="AY25" s="13" t="str">
        <f>IF(AY22="","",COUNTIF(Pres_entrainement[20/07/2018],"X"))</f>
        <v/>
      </c>
      <c r="AZ25" s="13" t="str">
        <f>IF(AZ22="","",COUNTIF(Pres_entrainement[27/07/2018],"X"))</f>
        <v/>
      </c>
    </row>
    <row r="26" spans="1:52" x14ac:dyDescent="0.25">
      <c r="B26" s="28" t="s">
        <v>51</v>
      </c>
      <c r="C26" s="28"/>
      <c r="D26" s="13">
        <f>ROUND(AVERAGE(E25:AX25),0)</f>
        <v>13</v>
      </c>
    </row>
    <row r="27" spans="1:52" x14ac:dyDescent="0.25">
      <c r="D27" s="12">
        <f>IFERROR(ROUND(D26/COUNTA(Pres_entrainement[JOUEUR]),2),0)</f>
        <v>0.68</v>
      </c>
    </row>
    <row r="41" spans="11:11" x14ac:dyDescent="0.25">
      <c r="K41" s="17"/>
    </row>
  </sheetData>
  <mergeCells count="4">
    <mergeCell ref="B22:D22"/>
    <mergeCell ref="B23:C23"/>
    <mergeCell ref="B25:D25"/>
    <mergeCell ref="B26:C26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3"/>
  <sheetViews>
    <sheetView tabSelected="1" workbookViewId="0">
      <selection activeCell="E28" sqref="E28"/>
    </sheetView>
  </sheetViews>
  <sheetFormatPr baseColWidth="10" defaultRowHeight="15" x14ac:dyDescent="0.25"/>
  <cols>
    <col min="1" max="1" width="7.7109375" style="29" bestFit="1" customWidth="1"/>
    <col min="2" max="3" width="12.7109375" style="29" customWidth="1"/>
    <col min="4" max="4" width="21.7109375" style="29" customWidth="1"/>
    <col min="5" max="5" width="11.42578125" style="29"/>
    <col min="6" max="6" width="13.42578125" style="29" bestFit="1" customWidth="1"/>
    <col min="7" max="7" width="18.42578125" style="29" bestFit="1" customWidth="1"/>
    <col min="8" max="8" width="15.7109375" style="29" customWidth="1"/>
    <col min="9" max="9" width="16.85546875" style="29" bestFit="1" customWidth="1"/>
    <col min="10" max="10" width="14.7109375" style="29" customWidth="1"/>
    <col min="11" max="16384" width="11.42578125" style="29"/>
  </cols>
  <sheetData>
    <row r="1" spans="1:10" x14ac:dyDescent="0.25">
      <c r="B1" s="30" t="s">
        <v>59</v>
      </c>
      <c r="C1" s="31">
        <f>COUNTA(Licence[Prénom])</f>
        <v>19</v>
      </c>
      <c r="D1" s="30" t="s">
        <v>60</v>
      </c>
      <c r="E1" s="32"/>
      <c r="F1" s="30" t="s">
        <v>61</v>
      </c>
      <c r="G1" s="32"/>
    </row>
    <row r="3" spans="1:10" x14ac:dyDescent="0.25">
      <c r="A3" s="33" t="s">
        <v>112</v>
      </c>
      <c r="B3" s="33" t="s">
        <v>53</v>
      </c>
      <c r="C3" s="33" t="s">
        <v>52</v>
      </c>
      <c r="D3" s="33" t="s">
        <v>54</v>
      </c>
      <c r="E3" s="33" t="s">
        <v>55</v>
      </c>
      <c r="F3" s="33" t="s">
        <v>56</v>
      </c>
      <c r="G3" s="33" t="s">
        <v>57</v>
      </c>
      <c r="H3" s="33" t="s">
        <v>58</v>
      </c>
      <c r="I3" s="33" t="s">
        <v>95</v>
      </c>
      <c r="J3" s="33" t="s">
        <v>76</v>
      </c>
    </row>
    <row r="4" spans="1:10" x14ac:dyDescent="0.25">
      <c r="A4" s="33">
        <f>ROW(Licence[[#This Row],[Prénom]])-3</f>
        <v>1</v>
      </c>
      <c r="B4" s="29" t="s">
        <v>72</v>
      </c>
      <c r="C4" s="34" t="s">
        <v>82</v>
      </c>
      <c r="D4" s="35">
        <v>34924</v>
      </c>
      <c r="E4" s="33">
        <f ca="1">IF(Licence[[#This Row],[Date de naissance]]="","",ROUNDDOWN((TODAY()-Licence[[#This Row],[Date de naissance]])/365,0))</f>
        <v>22</v>
      </c>
      <c r="F4" s="33" t="s">
        <v>79</v>
      </c>
      <c r="G4" s="33" t="s">
        <v>80</v>
      </c>
      <c r="I4" s="35"/>
      <c r="J4" s="33"/>
    </row>
    <row r="5" spans="1:10" x14ac:dyDescent="0.25">
      <c r="A5" s="33">
        <f>ROW(Licence[[#This Row],[Prénom]])-3</f>
        <v>2</v>
      </c>
      <c r="B5" s="29" t="s">
        <v>66</v>
      </c>
      <c r="C5" s="34" t="s">
        <v>83</v>
      </c>
      <c r="D5" s="35">
        <v>36830</v>
      </c>
      <c r="E5" s="33">
        <f ca="1">IF(Licence[[#This Row],[Date de naissance]]="","",ROUNDDOWN((TODAY()-Licence[[#This Row],[Date de naissance]])/365,0))</f>
        <v>16</v>
      </c>
      <c r="F5" s="33" t="s">
        <v>79</v>
      </c>
      <c r="G5" s="33" t="s">
        <v>80</v>
      </c>
      <c r="I5" s="35"/>
    </row>
    <row r="6" spans="1:10" x14ac:dyDescent="0.25">
      <c r="A6" s="33">
        <f>ROW(Licence[[#This Row],[Prénom]])-3</f>
        <v>3</v>
      </c>
      <c r="B6" s="29" t="s">
        <v>108</v>
      </c>
      <c r="C6" s="36" t="s">
        <v>109</v>
      </c>
      <c r="D6" s="35"/>
      <c r="E6" s="37" t="str">
        <f ca="1">IF(Licence[[#This Row],[Date de naissance]]="","",ROUNDDOWN((TODAY()-Licence[[#This Row],[Date de naissance]])/365,0))</f>
        <v/>
      </c>
      <c r="F6" s="33"/>
      <c r="G6" s="33" t="s">
        <v>80</v>
      </c>
      <c r="I6" s="35"/>
    </row>
    <row r="7" spans="1:10" x14ac:dyDescent="0.25">
      <c r="A7" s="33">
        <f>ROW(Licence[[#This Row],[Prénom]])-3</f>
        <v>4</v>
      </c>
      <c r="B7" s="29" t="s">
        <v>67</v>
      </c>
      <c r="C7" s="36" t="s">
        <v>84</v>
      </c>
      <c r="D7" s="35">
        <v>34758</v>
      </c>
      <c r="E7" s="37">
        <f ca="1">IF(Licence[[#This Row],[Date de naissance]]="","",ROUNDDOWN((TODAY()-Licence[[#This Row],[Date de naissance]])/365,0))</f>
        <v>22</v>
      </c>
      <c r="F7" s="33" t="s">
        <v>79</v>
      </c>
      <c r="G7" s="33" t="s">
        <v>80</v>
      </c>
      <c r="I7" s="35"/>
    </row>
    <row r="8" spans="1:10" x14ac:dyDescent="0.25">
      <c r="A8" s="33">
        <f>ROW(Licence[[#This Row],[Prénom]])-3</f>
        <v>5</v>
      </c>
      <c r="B8" s="29" t="s">
        <v>96</v>
      </c>
      <c r="C8" s="36" t="s">
        <v>81</v>
      </c>
      <c r="D8" s="35">
        <v>37578</v>
      </c>
      <c r="E8" s="37">
        <f ca="1">IF(Licence[[#This Row],[Date de naissance]]="","",ROUNDDOWN((TODAY()-Licence[[#This Row],[Date de naissance]])/365,0))</f>
        <v>14</v>
      </c>
      <c r="F8" s="33"/>
      <c r="G8" s="33"/>
      <c r="I8" s="35"/>
    </row>
    <row r="9" spans="1:10" x14ac:dyDescent="0.25">
      <c r="A9" s="33">
        <f>ROW(Licence[[#This Row],[Prénom]])-3</f>
        <v>6</v>
      </c>
      <c r="B9" s="29" t="s">
        <v>63</v>
      </c>
      <c r="C9" s="34" t="s">
        <v>81</v>
      </c>
      <c r="D9" s="38">
        <v>34719</v>
      </c>
      <c r="E9" s="33">
        <f ca="1">IF(Licence[[#This Row],[Date de naissance]]="","",ROUNDDOWN((TODAY()-Licence[[#This Row],[Date de naissance]])/365,0))</f>
        <v>22</v>
      </c>
      <c r="F9" s="33" t="s">
        <v>79</v>
      </c>
      <c r="G9" s="33" t="s">
        <v>80</v>
      </c>
      <c r="I9" s="35"/>
    </row>
    <row r="10" spans="1:10" x14ac:dyDescent="0.25">
      <c r="A10" s="33">
        <f>ROW(Licence[[#This Row],[Prénom]])-3</f>
        <v>7</v>
      </c>
      <c r="B10" s="29" t="s">
        <v>62</v>
      </c>
      <c r="C10" s="34" t="s">
        <v>75</v>
      </c>
      <c r="D10" s="35">
        <v>34904</v>
      </c>
      <c r="E10" s="33">
        <f ca="1">IF(Licence[[#This Row],[Date de naissance]]="","",ROUNDDOWN((TODAY()-Licence[[#This Row],[Date de naissance]])/365,0))</f>
        <v>22</v>
      </c>
      <c r="F10" s="33" t="s">
        <v>79</v>
      </c>
      <c r="G10" s="33" t="s">
        <v>80</v>
      </c>
      <c r="I10" s="35"/>
    </row>
    <row r="11" spans="1:10" x14ac:dyDescent="0.25">
      <c r="A11" s="33">
        <f>ROW(Licence[[#This Row],[Prénom]])-3</f>
        <v>8</v>
      </c>
      <c r="B11" s="29" t="s">
        <v>97</v>
      </c>
      <c r="C11" s="34" t="s">
        <v>100</v>
      </c>
      <c r="D11" s="35">
        <v>30193</v>
      </c>
      <c r="E11" s="33">
        <f ca="1">IF(Licence[[#This Row],[Date de naissance]]="","",ROUNDDOWN((TODAY()-Licence[[#This Row],[Date de naissance]])/365,0))</f>
        <v>35</v>
      </c>
      <c r="F11" s="33"/>
      <c r="G11" s="33" t="s">
        <v>80</v>
      </c>
      <c r="I11" s="35"/>
    </row>
    <row r="12" spans="1:10" x14ac:dyDescent="0.25">
      <c r="A12" s="33">
        <f>ROW(Licence[[#This Row],[Prénom]])-3</f>
        <v>9</v>
      </c>
      <c r="B12" s="29" t="s">
        <v>64</v>
      </c>
      <c r="C12" s="34" t="s">
        <v>85</v>
      </c>
      <c r="D12" s="35">
        <v>29067</v>
      </c>
      <c r="E12" s="33">
        <f ca="1">IF(Licence[[#This Row],[Date de naissance]]="","",ROUNDDOWN((TODAY()-Licence[[#This Row],[Date de naissance]])/365,0))</f>
        <v>38</v>
      </c>
      <c r="F12" s="33" t="s">
        <v>79</v>
      </c>
      <c r="G12" s="33" t="s">
        <v>80</v>
      </c>
      <c r="I12" s="35"/>
    </row>
    <row r="13" spans="1:10" x14ac:dyDescent="0.25">
      <c r="A13" s="33">
        <f>ROW(Licence[[#This Row],[Prénom]])-3</f>
        <v>10</v>
      </c>
      <c r="B13" s="29" t="s">
        <v>110</v>
      </c>
      <c r="C13" s="34" t="s">
        <v>111</v>
      </c>
      <c r="D13" s="35"/>
      <c r="E13" s="33" t="str">
        <f ca="1">IF(Licence[[#This Row],[Date de naissance]]="","",ROUNDDOWN((TODAY()-Licence[[#This Row],[Date de naissance]])/365,0))</f>
        <v/>
      </c>
      <c r="F13" s="33"/>
      <c r="G13" s="33"/>
      <c r="I13" s="35"/>
    </row>
    <row r="14" spans="1:10" x14ac:dyDescent="0.25">
      <c r="A14" s="33">
        <f>ROW(Licence[[#This Row],[Prénom]])-3</f>
        <v>11</v>
      </c>
      <c r="B14" s="29" t="s">
        <v>73</v>
      </c>
      <c r="C14" s="34" t="s">
        <v>86</v>
      </c>
      <c r="D14" s="35">
        <v>38079</v>
      </c>
      <c r="E14" s="33">
        <f ca="1">IF(Licence[[#This Row],[Date de naissance]]="","",ROUNDDOWN((TODAY()-Licence[[#This Row],[Date de naissance]])/365,0))</f>
        <v>13</v>
      </c>
      <c r="F14" s="33" t="s">
        <v>79</v>
      </c>
      <c r="G14" s="33"/>
      <c r="I14" s="35"/>
    </row>
    <row r="15" spans="1:10" x14ac:dyDescent="0.25">
      <c r="A15" s="33">
        <f>ROW(Licence[[#This Row],[Prénom]])-3</f>
        <v>12</v>
      </c>
      <c r="B15" s="29" t="s">
        <v>107</v>
      </c>
      <c r="C15" s="34" t="s">
        <v>106</v>
      </c>
      <c r="D15" s="35"/>
      <c r="E15" s="33" t="str">
        <f ca="1">IF(Licence[[#This Row],[Date de naissance]]="","",ROUNDDOWN((TODAY()-Licence[[#This Row],[Date de naissance]])/365,0))</f>
        <v/>
      </c>
      <c r="F15" s="33"/>
      <c r="G15" s="33" t="s">
        <v>80</v>
      </c>
      <c r="I15" s="35"/>
    </row>
    <row r="16" spans="1:10" x14ac:dyDescent="0.25">
      <c r="A16" s="33">
        <f>ROW(Licence[[#This Row],[Prénom]])-3</f>
        <v>13</v>
      </c>
      <c r="B16" s="29" t="s">
        <v>102</v>
      </c>
      <c r="C16" s="34" t="s">
        <v>104</v>
      </c>
      <c r="D16" s="35">
        <v>30245</v>
      </c>
      <c r="E16" s="33">
        <f ca="1">IF(Licence[[#This Row],[Date de naissance]]="","",ROUNDDOWN((TODAY()-Licence[[#This Row],[Date de naissance]])/365,0))</f>
        <v>35</v>
      </c>
      <c r="F16" s="33"/>
      <c r="G16" s="33" t="s">
        <v>80</v>
      </c>
      <c r="I16" s="35"/>
    </row>
    <row r="17" spans="1:10" x14ac:dyDescent="0.25">
      <c r="A17" s="33">
        <f>ROW(Licence[[#This Row],[Prénom]])-3</f>
        <v>14</v>
      </c>
      <c r="B17" s="29" t="s">
        <v>68</v>
      </c>
      <c r="C17" s="34" t="s">
        <v>87</v>
      </c>
      <c r="D17" s="35">
        <v>33225</v>
      </c>
      <c r="E17" s="33">
        <f ca="1">IF(Licence[[#This Row],[Date de naissance]]="","",ROUNDDOWN((TODAY()-Licence[[#This Row],[Date de naissance]])/365,0))</f>
        <v>26</v>
      </c>
      <c r="F17" s="33" t="s">
        <v>79</v>
      </c>
      <c r="G17" s="33" t="s">
        <v>80</v>
      </c>
      <c r="I17" s="35"/>
    </row>
    <row r="18" spans="1:10" x14ac:dyDescent="0.25">
      <c r="A18" s="33">
        <f>ROW(Licence[[#This Row],[Prénom]])-3</f>
        <v>15</v>
      </c>
      <c r="B18" s="29" t="s">
        <v>103</v>
      </c>
      <c r="C18" s="34" t="s">
        <v>105</v>
      </c>
      <c r="D18" s="35">
        <v>28542</v>
      </c>
      <c r="E18" s="33">
        <f ca="1">IF(Licence[[#This Row],[Date de naissance]]="","",ROUNDDOWN((TODAY()-Licence[[#This Row],[Date de naissance]])/365,0))</f>
        <v>39</v>
      </c>
      <c r="F18" s="33"/>
      <c r="G18" s="33" t="s">
        <v>80</v>
      </c>
      <c r="I18" s="35"/>
    </row>
    <row r="19" spans="1:10" x14ac:dyDescent="0.25">
      <c r="A19" s="33">
        <f>ROW(Licence[[#This Row],[Prénom]])-3</f>
        <v>16</v>
      </c>
      <c r="B19" s="29" t="s">
        <v>69</v>
      </c>
      <c r="C19" s="34" t="s">
        <v>88</v>
      </c>
      <c r="D19" s="35">
        <v>39042</v>
      </c>
      <c r="E19" s="37">
        <f ca="1">IF(Licence[[#This Row],[Date de naissance]]="","",ROUNDDOWN((TODAY()-Licence[[#This Row],[Date de naissance]])/365,0))</f>
        <v>10</v>
      </c>
      <c r="F19" s="33" t="s">
        <v>79</v>
      </c>
      <c r="G19" s="33"/>
      <c r="I19" s="35"/>
    </row>
    <row r="20" spans="1:10" x14ac:dyDescent="0.25">
      <c r="A20" s="33">
        <f>ROW(Licence[[#This Row],[Prénom]])-3</f>
        <v>17</v>
      </c>
      <c r="B20" s="29" t="s">
        <v>70</v>
      </c>
      <c r="C20" s="34" t="s">
        <v>89</v>
      </c>
      <c r="D20" s="35">
        <v>34870</v>
      </c>
      <c r="E20" s="37">
        <f ca="1">IF(Licence[[#This Row],[Date de naissance]]="","",ROUNDDOWN((TODAY()-Licence[[#This Row],[Date de naissance]])/365,0))</f>
        <v>22</v>
      </c>
      <c r="F20" s="33" t="s">
        <v>79</v>
      </c>
      <c r="G20" s="33" t="s">
        <v>80</v>
      </c>
      <c r="I20" s="35"/>
    </row>
    <row r="21" spans="1:10" x14ac:dyDescent="0.25">
      <c r="A21" s="33">
        <f>ROW(Licence[[#This Row],[Prénom]])-3</f>
        <v>18</v>
      </c>
      <c r="B21" s="29" t="s">
        <v>65</v>
      </c>
      <c r="C21" s="34" t="s">
        <v>90</v>
      </c>
      <c r="D21" s="35">
        <v>35093</v>
      </c>
      <c r="E21" s="37">
        <f ca="1">IF(Licence[[#This Row],[Date de naissance]]="","",ROUNDDOWN((TODAY()-Licence[[#This Row],[Date de naissance]])/365,0))</f>
        <v>21</v>
      </c>
      <c r="F21" s="33" t="s">
        <v>79</v>
      </c>
      <c r="G21" s="33" t="s">
        <v>80</v>
      </c>
      <c r="I21" s="35"/>
    </row>
    <row r="22" spans="1:10" ht="15.75" thickBot="1" x14ac:dyDescent="0.3">
      <c r="A22" s="33">
        <f>ROW(Licence[[#This Row],[Prénom]])-3</f>
        <v>19</v>
      </c>
      <c r="B22" s="29" t="s">
        <v>71</v>
      </c>
      <c r="C22" s="34" t="s">
        <v>91</v>
      </c>
      <c r="D22" s="35">
        <v>35149</v>
      </c>
      <c r="E22" s="37">
        <f ca="1">IF(Licence[[#This Row],[Date de naissance]]="","",ROUNDDOWN((TODAY()-Licence[[#This Row],[Date de naissance]])/365,0))</f>
        <v>21</v>
      </c>
      <c r="F22" s="33" t="s">
        <v>79</v>
      </c>
      <c r="G22" s="33" t="s">
        <v>80</v>
      </c>
      <c r="I22" s="35"/>
    </row>
    <row r="23" spans="1:10" ht="15.75" thickBot="1" x14ac:dyDescent="0.3">
      <c r="B23" s="39" t="s">
        <v>101</v>
      </c>
      <c r="C23" s="40"/>
      <c r="D23" s="40"/>
      <c r="E23" s="40"/>
      <c r="F23" s="40"/>
      <c r="G23" s="40"/>
      <c r="H23" s="40"/>
      <c r="I23" s="40"/>
      <c r="J23" s="41">
        <f ca="1">ROUND(AVERAGE(Licence[Age]),0)</f>
        <v>24</v>
      </c>
    </row>
  </sheetData>
  <mergeCells count="1">
    <mergeCell ref="B23:I2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Ressources!$A$4:$A$5</xm:f>
          </x14:formula1>
          <xm:sqref>F4:G22 J4:J22</xm:sqref>
        </x14:dataValidation>
        <x14:dataValidation type="list" allowBlank="1" showInputMessage="1" showErrorMessage="1">
          <x14:formula1>
            <xm:f>Ressources!$D$2:$D$3</xm:f>
          </x14:formula1>
          <xm:sqref>H4:H22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"/>
  <sheetViews>
    <sheetView workbookViewId="0">
      <selection activeCell="C30" sqref="C30"/>
    </sheetView>
  </sheetViews>
  <sheetFormatPr baseColWidth="10" defaultRowHeight="15" x14ac:dyDescent="0.25"/>
  <cols>
    <col min="4" max="4" width="15.5703125" bestFit="1" customWidth="1"/>
  </cols>
  <sheetData>
    <row r="1" spans="1:4" x14ac:dyDescent="0.25">
      <c r="A1" s="19" t="s">
        <v>77</v>
      </c>
      <c r="B1" s="18">
        <f ca="1">TODAY()</f>
        <v>43023</v>
      </c>
      <c r="D1" s="19" t="s">
        <v>92</v>
      </c>
    </row>
    <row r="2" spans="1:4" x14ac:dyDescent="0.25">
      <c r="D2" s="1" t="s">
        <v>93</v>
      </c>
    </row>
    <row r="3" spans="1:4" x14ac:dyDescent="0.25">
      <c r="A3" s="19" t="s">
        <v>78</v>
      </c>
      <c r="D3" s="1" t="s">
        <v>94</v>
      </c>
    </row>
    <row r="4" spans="1:4" x14ac:dyDescent="0.25">
      <c r="A4" s="1" t="s">
        <v>79</v>
      </c>
    </row>
    <row r="5" spans="1:4" x14ac:dyDescent="0.25">
      <c r="A5" s="1" t="s">
        <v>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Classement</vt:lpstr>
      <vt:lpstr>RESU</vt:lpstr>
      <vt:lpstr>Présence entrainement</vt:lpstr>
      <vt:lpstr>Licence</vt:lpstr>
      <vt:lpstr>Ressources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LOFFEL</dc:creator>
  <cp:lastModifiedBy>Kevin LOFFEL</cp:lastModifiedBy>
  <dcterms:created xsi:type="dcterms:W3CDTF">2017-08-23T07:47:52Z</dcterms:created>
  <dcterms:modified xsi:type="dcterms:W3CDTF">2017-10-15T14:21:08Z</dcterms:modified>
</cp:coreProperties>
</file>