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bookViews>
    <workbookView xWindow="0" yWindow="0" windowWidth="28800" windowHeight="14235"/>
  </bookViews>
  <sheets>
    <sheet name="Feuil1" sheetId="1" r:id="rId1"/>
  </sheets>
  <externalReferences>
    <externalReference r:id="rId2"/>
  </externalReferences>
  <definedNames>
    <definedName name="Liste_trouver">Feuil1!$F$37:$F$42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T32" i="1" l="1"/>
  <c r="AL32" i="1"/>
  <c r="AK32" i="1" s="1"/>
  <c r="AD32" i="1"/>
  <c r="Z32" i="1"/>
  <c r="Y32" i="1"/>
  <c r="R32" i="1"/>
  <c r="Q32" i="1"/>
  <c r="J32" i="1"/>
  <c r="B32" i="1"/>
  <c r="AT31" i="1"/>
  <c r="AP31" i="1"/>
  <c r="AL31" i="1"/>
  <c r="AH31" i="1"/>
  <c r="AD31" i="1"/>
  <c r="AC31" i="1"/>
  <c r="Z31" i="1"/>
  <c r="V31" i="1"/>
  <c r="R31" i="1"/>
  <c r="N31" i="1"/>
  <c r="J31" i="1"/>
  <c r="B31" i="1"/>
  <c r="AT30" i="1"/>
  <c r="AS30" i="1"/>
  <c r="AP30" i="1"/>
  <c r="AL30" i="1"/>
  <c r="AH30" i="1"/>
  <c r="AD30" i="1"/>
  <c r="Z30" i="1"/>
  <c r="V30" i="1"/>
  <c r="R30" i="1"/>
  <c r="N30" i="1"/>
  <c r="J30" i="1"/>
  <c r="I30" i="1"/>
  <c r="B30" i="1"/>
  <c r="AT29" i="1"/>
  <c r="AP29" i="1"/>
  <c r="AO29" i="1" s="1"/>
  <c r="AL29" i="1"/>
  <c r="AH29" i="1"/>
  <c r="AD29" i="1"/>
  <c r="Z29" i="1"/>
  <c r="V29" i="1"/>
  <c r="U29" i="1" s="1"/>
  <c r="R29" i="1"/>
  <c r="N29" i="1"/>
  <c r="J29" i="1"/>
  <c r="F29" i="1"/>
  <c r="F30" i="1" s="1"/>
  <c r="E29" i="1"/>
  <c r="B29" i="1"/>
  <c r="AT28" i="1"/>
  <c r="AP28" i="1"/>
  <c r="AL28" i="1"/>
  <c r="AH28" i="1"/>
  <c r="AG28" i="1"/>
  <c r="AD28" i="1"/>
  <c r="Z28" i="1"/>
  <c r="V28" i="1"/>
  <c r="R28" i="1"/>
  <c r="N28" i="1"/>
  <c r="J28" i="1"/>
  <c r="F28" i="1"/>
  <c r="B28" i="1"/>
  <c r="AT27" i="1"/>
  <c r="AP27" i="1"/>
  <c r="AL27" i="1"/>
  <c r="AH27" i="1"/>
  <c r="AD27" i="1"/>
  <c r="Z27" i="1"/>
  <c r="Y27" i="1" s="1"/>
  <c r="V27" i="1"/>
  <c r="R27" i="1"/>
  <c r="N27" i="1"/>
  <c r="M27" i="1" s="1"/>
  <c r="J27" i="1"/>
  <c r="F27" i="1"/>
  <c r="B27" i="1"/>
  <c r="AT26" i="1"/>
  <c r="AP26" i="1"/>
  <c r="AL26" i="1"/>
  <c r="AK26" i="1"/>
  <c r="AH26" i="1"/>
  <c r="AD26" i="1"/>
  <c r="Z26" i="1"/>
  <c r="V26" i="1"/>
  <c r="R26" i="1"/>
  <c r="N26" i="1"/>
  <c r="J26" i="1"/>
  <c r="F26" i="1"/>
  <c r="B26" i="1"/>
  <c r="A26" i="1"/>
  <c r="AT25" i="1"/>
  <c r="AS25" i="1"/>
  <c r="AP25" i="1"/>
  <c r="AL25" i="1"/>
  <c r="AH25" i="1"/>
  <c r="AD25" i="1"/>
  <c r="Z25" i="1"/>
  <c r="V25" i="1"/>
  <c r="R25" i="1"/>
  <c r="Q25" i="1"/>
  <c r="N25" i="1"/>
  <c r="J25" i="1"/>
  <c r="F25" i="1"/>
  <c r="B25" i="1"/>
  <c r="AT24" i="1"/>
  <c r="AP24" i="1"/>
  <c r="AL24" i="1"/>
  <c r="AH24" i="1"/>
  <c r="AD24" i="1"/>
  <c r="AC24" i="1"/>
  <c r="Z24" i="1"/>
  <c r="V24" i="1"/>
  <c r="R24" i="1"/>
  <c r="N24" i="1"/>
  <c r="J24" i="1"/>
  <c r="F24" i="1"/>
  <c r="B24" i="1"/>
  <c r="AT23" i="1"/>
  <c r="AP23" i="1"/>
  <c r="AL23" i="1"/>
  <c r="AH23" i="1"/>
  <c r="AD23" i="1"/>
  <c r="Z23" i="1"/>
  <c r="V23" i="1"/>
  <c r="R23" i="1"/>
  <c r="N23" i="1"/>
  <c r="J23" i="1"/>
  <c r="I23" i="1"/>
  <c r="F23" i="1"/>
  <c r="E23" i="1"/>
  <c r="B23" i="1"/>
  <c r="AT22" i="1"/>
  <c r="AP22" i="1"/>
  <c r="AO22" i="1"/>
  <c r="AL22" i="1"/>
  <c r="AH22" i="1"/>
  <c r="AD22" i="1"/>
  <c r="Z22" i="1"/>
  <c r="V22" i="1"/>
  <c r="U22" i="1"/>
  <c r="R22" i="1"/>
  <c r="N22" i="1"/>
  <c r="J22" i="1"/>
  <c r="F22" i="1"/>
  <c r="B22" i="1"/>
  <c r="AT21" i="1"/>
  <c r="AP21" i="1"/>
  <c r="AL21" i="1"/>
  <c r="AH21" i="1"/>
  <c r="AG21" i="1"/>
  <c r="AD21" i="1"/>
  <c r="Z21" i="1"/>
  <c r="V21" i="1"/>
  <c r="R21" i="1"/>
  <c r="N21" i="1"/>
  <c r="J21" i="1"/>
  <c r="F21" i="1"/>
  <c r="B21" i="1"/>
  <c r="AT20" i="1"/>
  <c r="AP20" i="1"/>
  <c r="AL20" i="1"/>
  <c r="AH20" i="1"/>
  <c r="AD20" i="1"/>
  <c r="Z20" i="1"/>
  <c r="Y20" i="1" s="1"/>
  <c r="V20" i="1"/>
  <c r="R20" i="1"/>
  <c r="N20" i="1"/>
  <c r="M20" i="1" s="1"/>
  <c r="J20" i="1"/>
  <c r="F20" i="1"/>
  <c r="B20" i="1"/>
  <c r="AT19" i="1"/>
  <c r="AP19" i="1"/>
  <c r="AL19" i="1"/>
  <c r="AK19" i="1"/>
  <c r="AH19" i="1"/>
  <c r="AD19" i="1"/>
  <c r="Z19" i="1"/>
  <c r="V19" i="1"/>
  <c r="R19" i="1"/>
  <c r="N19" i="1"/>
  <c r="J19" i="1"/>
  <c r="F19" i="1"/>
  <c r="B19" i="1"/>
  <c r="A19" i="1"/>
  <c r="AT18" i="1"/>
  <c r="AS18" i="1"/>
  <c r="AP18" i="1"/>
  <c r="AL18" i="1"/>
  <c r="AH18" i="1"/>
  <c r="AD18" i="1"/>
  <c r="Z18" i="1"/>
  <c r="V18" i="1"/>
  <c r="R18" i="1"/>
  <c r="Q18" i="1"/>
  <c r="N18" i="1"/>
  <c r="J18" i="1"/>
  <c r="F18" i="1"/>
  <c r="B18" i="1"/>
  <c r="AT17" i="1"/>
  <c r="AP17" i="1"/>
  <c r="AL17" i="1"/>
  <c r="AH17" i="1"/>
  <c r="AD17" i="1"/>
  <c r="AC17" i="1"/>
  <c r="Z17" i="1"/>
  <c r="V17" i="1"/>
  <c r="R17" i="1"/>
  <c r="N17" i="1"/>
  <c r="J17" i="1"/>
  <c r="F17" i="1"/>
  <c r="B17" i="1"/>
  <c r="AT16" i="1"/>
  <c r="AP16" i="1"/>
  <c r="AL16" i="1"/>
  <c r="AH16" i="1"/>
  <c r="AD16" i="1"/>
  <c r="Z16" i="1"/>
  <c r="V16" i="1"/>
  <c r="R16" i="1"/>
  <c r="N16" i="1"/>
  <c r="J16" i="1"/>
  <c r="I16" i="1"/>
  <c r="F16" i="1"/>
  <c r="E16" i="1"/>
  <c r="B16" i="1"/>
  <c r="AT15" i="1"/>
  <c r="AP15" i="1"/>
  <c r="AO15" i="1"/>
  <c r="AL15" i="1"/>
  <c r="AH15" i="1"/>
  <c r="AD15" i="1"/>
  <c r="Z15" i="1"/>
  <c r="V15" i="1"/>
  <c r="U15" i="1"/>
  <c r="R15" i="1"/>
  <c r="N15" i="1"/>
  <c r="J15" i="1"/>
  <c r="F15" i="1"/>
  <c r="B15" i="1"/>
  <c r="AT14" i="1"/>
  <c r="AP14" i="1"/>
  <c r="AL14" i="1"/>
  <c r="AH14" i="1"/>
  <c r="AG14" i="1"/>
  <c r="AD14" i="1"/>
  <c r="Z14" i="1"/>
  <c r="V14" i="1"/>
  <c r="R14" i="1"/>
  <c r="N14" i="1"/>
  <c r="J14" i="1"/>
  <c r="F14" i="1"/>
  <c r="B14" i="1"/>
  <c r="AT13" i="1"/>
  <c r="AP13" i="1"/>
  <c r="AL13" i="1"/>
  <c r="AH13" i="1"/>
  <c r="AD13" i="1"/>
  <c r="Z13" i="1"/>
  <c r="Y13" i="1"/>
  <c r="V13" i="1"/>
  <c r="R13" i="1"/>
  <c r="N13" i="1"/>
  <c r="M13" i="1"/>
  <c r="J13" i="1"/>
  <c r="F13" i="1"/>
  <c r="B13" i="1"/>
  <c r="AT12" i="1"/>
  <c r="AP12" i="1"/>
  <c r="AL12" i="1"/>
  <c r="AK12" i="1" s="1"/>
  <c r="AH12" i="1"/>
  <c r="AD12" i="1"/>
  <c r="Z12" i="1"/>
  <c r="V12" i="1"/>
  <c r="R12" i="1"/>
  <c r="N12" i="1"/>
  <c r="J12" i="1"/>
  <c r="F12" i="1"/>
  <c r="B12" i="1"/>
  <c r="A12" i="1"/>
  <c r="AT11" i="1"/>
  <c r="AS11" i="1" s="1"/>
  <c r="AP11" i="1"/>
  <c r="AL11" i="1"/>
  <c r="AH11" i="1"/>
  <c r="AD11" i="1"/>
  <c r="Z11" i="1"/>
  <c r="V11" i="1"/>
  <c r="R11" i="1"/>
  <c r="Q11" i="1" s="1"/>
  <c r="N11" i="1"/>
  <c r="J11" i="1"/>
  <c r="F11" i="1"/>
  <c r="B11" i="1"/>
  <c r="AT10" i="1"/>
  <c r="AP10" i="1"/>
  <c r="AL10" i="1"/>
  <c r="AH10" i="1"/>
  <c r="AD10" i="1"/>
  <c r="AC10" i="1"/>
  <c r="Z10" i="1"/>
  <c r="V10" i="1"/>
  <c r="R10" i="1"/>
  <c r="N10" i="1"/>
  <c r="J10" i="1"/>
  <c r="F10" i="1"/>
  <c r="B10" i="1"/>
  <c r="AT9" i="1"/>
  <c r="AP9" i="1"/>
  <c r="AL9" i="1"/>
  <c r="AH9" i="1"/>
  <c r="AD9" i="1"/>
  <c r="Z9" i="1"/>
  <c r="V9" i="1"/>
  <c r="R9" i="1"/>
  <c r="N9" i="1"/>
  <c r="J9" i="1"/>
  <c r="I9" i="1" s="1"/>
  <c r="F9" i="1"/>
  <c r="E9" i="1"/>
  <c r="B9" i="1"/>
  <c r="AT8" i="1"/>
  <c r="AP8" i="1"/>
  <c r="AO8" i="1" s="1"/>
  <c r="AL8" i="1"/>
  <c r="AH8" i="1"/>
  <c r="AD8" i="1"/>
  <c r="Z8" i="1"/>
  <c r="V8" i="1"/>
  <c r="U8" i="1"/>
  <c r="R8" i="1"/>
  <c r="N8" i="1"/>
  <c r="J8" i="1"/>
  <c r="F8" i="1"/>
  <c r="B8" i="1"/>
  <c r="AT7" i="1"/>
  <c r="AP7" i="1"/>
  <c r="AL7" i="1"/>
  <c r="AH7" i="1"/>
  <c r="AG7" i="1" s="1"/>
  <c r="AD7" i="1"/>
  <c r="Z7" i="1"/>
  <c r="V7" i="1"/>
  <c r="R7" i="1"/>
  <c r="N7" i="1"/>
  <c r="J7" i="1"/>
  <c r="F7" i="1"/>
  <c r="B7" i="1"/>
  <c r="AT6" i="1"/>
  <c r="AP6" i="1"/>
  <c r="AL6" i="1"/>
  <c r="AH6" i="1"/>
  <c r="AD6" i="1"/>
  <c r="Z6" i="1"/>
  <c r="Y6" i="1" s="1"/>
  <c r="V6" i="1"/>
  <c r="R6" i="1"/>
  <c r="N6" i="1"/>
  <c r="M6" i="1" s="1"/>
  <c r="J6" i="1"/>
  <c r="F6" i="1"/>
  <c r="B6" i="1"/>
  <c r="AT5" i="1"/>
  <c r="AS5" i="1" s="1"/>
  <c r="AP5" i="1"/>
  <c r="AL5" i="1"/>
  <c r="AK5" i="1"/>
  <c r="AH5" i="1"/>
  <c r="AD5" i="1"/>
  <c r="Z5" i="1"/>
  <c r="V5" i="1"/>
  <c r="R5" i="1"/>
  <c r="N5" i="1"/>
  <c r="J5" i="1"/>
  <c r="F5" i="1"/>
  <c r="B5" i="1"/>
  <c r="A5" i="1" s="1"/>
  <c r="AT4" i="1"/>
  <c r="AP4" i="1"/>
  <c r="AO4" i="1"/>
  <c r="AL4" i="1"/>
  <c r="AH4" i="1"/>
  <c r="AD4" i="1"/>
  <c r="Z4" i="1"/>
  <c r="V4" i="1"/>
  <c r="R4" i="1"/>
  <c r="Q4" i="1" s="1"/>
  <c r="N4" i="1"/>
  <c r="J4" i="1"/>
  <c r="F4" i="1"/>
  <c r="B4" i="1"/>
  <c r="AT3" i="1"/>
  <c r="AP3" i="1"/>
  <c r="AL3" i="1"/>
  <c r="AH3" i="1"/>
  <c r="AD3" i="1"/>
  <c r="AC3" i="1" s="1"/>
  <c r="Z3" i="1"/>
  <c r="V3" i="1"/>
  <c r="R3" i="1"/>
  <c r="N3" i="1"/>
  <c r="J3" i="1"/>
  <c r="I3" i="1"/>
  <c r="F3" i="1"/>
  <c r="B3" i="1"/>
  <c r="AT2" i="1"/>
  <c r="AP2" i="1"/>
  <c r="AL2" i="1"/>
  <c r="AH2" i="1"/>
  <c r="AD2" i="1"/>
  <c r="Z2" i="1"/>
  <c r="V2" i="1"/>
  <c r="R2" i="1"/>
  <c r="N2" i="1"/>
  <c r="J2" i="1"/>
  <c r="F2" i="1"/>
  <c r="E2" i="1" s="1"/>
  <c r="B2" i="1"/>
</calcChain>
</file>

<file path=xl/sharedStrings.xml><?xml version="1.0" encoding="utf-8"?>
<sst xmlns="http://schemas.openxmlformats.org/spreadsheetml/2006/main" count="30" uniqueCount="21">
  <si>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</si>
  <si>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</si>
  <si>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</si>
  <si>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</si>
  <si>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</si>
  <si>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</si>
  <si>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</si>
  <si>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</si>
  <si>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</si>
  <si>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</si>
  <si>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</si>
  <si>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</si>
  <si>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Tableau des</t>
  </si>
  <si>
    <t>AA</t>
  </si>
  <si>
    <t>CC</t>
  </si>
  <si>
    <t>DD</t>
  </si>
  <si>
    <t>EE</t>
  </si>
  <si>
    <t>FF</t>
  </si>
  <si>
    <t>GG</t>
  </si>
  <si>
    <t>Date</t>
  </si>
  <si>
    <t>Date 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</si>
</sst>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"/>
    <numFmt numFmtId="165" formatCode="ddd\ d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7" tint="0.79998168889431442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164" fontId="2" fillId="2" borderId="1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4" fontId="2" fillId="5" borderId="2" xfId="0" applyNumberFormat="1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164" fontId="2" fillId="4" borderId="4" xfId="0" applyNumberFormat="1" applyFont="1" applyFill="1" applyBorder="1" applyAlignment="1">
      <alignment horizontal="center" vertical="center"/>
    </xf>
    <xf numFmtId="164" fontId="2" fillId="4" borderId="5" xfId="0" applyNumberFormat="1" applyFont="1" applyFill="1" applyBorder="1" applyAlignment="1">
      <alignment horizontal="center" vertical="center"/>
    </xf>
    <xf numFmtId="164" fontId="2" fillId="4" borderId="6" xfId="0" applyNumberFormat="1" applyFont="1" applyFill="1" applyBorder="1" applyAlignment="1">
      <alignment horizontal="center" vertical="center"/>
    </xf>
    <xf numFmtId="164" fontId="2" fillId="5" borderId="4" xfId="0" applyNumberFormat="1" applyFont="1" applyFill="1" applyBorder="1" applyAlignment="1">
      <alignment horizontal="center" vertical="center"/>
    </xf>
    <xf numFmtId="164" fontId="2" fillId="5" borderId="5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6" borderId="7" xfId="0" applyFill="1" applyBorder="1" applyAlignment="1">
      <alignment vertical="center"/>
    </xf>
    <xf numFmtId="165" fontId="3" fillId="6" borderId="7" xfId="0" applyNumberFormat="1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165" fontId="3" fillId="3" borderId="7" xfId="0" applyNumberFormat="1" applyFont="1" applyFill="1" applyBorder="1" applyAlignment="1">
      <alignment horizontal="center" vertical="center"/>
    </xf>
    <xf numFmtId="165" fontId="3" fillId="8" borderId="7" xfId="0" applyNumberFormat="1" applyFont="1" applyFill="1" applyBorder="1" applyAlignment="1">
      <alignment horizontal="center" vertical="center"/>
    </xf>
    <xf numFmtId="0" fontId="5" fillId="9" borderId="7" xfId="0" applyNumberFormat="1" applyFont="1" applyFill="1" applyBorder="1" applyAlignment="1">
      <alignment horizontal="center" vertical="center"/>
    </xf>
    <xf numFmtId="165" fontId="3" fillId="4" borderId="7" xfId="0" applyNumberFormat="1" applyFont="1" applyFill="1" applyBorder="1" applyAlignment="1">
      <alignment horizontal="center" vertical="center"/>
    </xf>
    <xf numFmtId="165" fontId="3" fillId="10" borderId="7" xfId="0" applyNumberFormat="1" applyFont="1" applyFill="1" applyBorder="1" applyAlignment="1">
      <alignment horizontal="center" vertical="center"/>
    </xf>
    <xf numFmtId="0" fontId="5" fillId="11" borderId="7" xfId="0" applyNumberFormat="1" applyFont="1" applyFill="1" applyBorder="1" applyAlignment="1">
      <alignment horizontal="center" vertical="center"/>
    </xf>
    <xf numFmtId="165" fontId="3" fillId="5" borderId="7" xfId="0" applyNumberFormat="1" applyFont="1" applyFill="1" applyBorder="1" applyAlignment="1">
      <alignment horizontal="center" vertical="center"/>
    </xf>
    <xf numFmtId="165" fontId="3" fillId="12" borderId="7" xfId="0" applyNumberFormat="1" applyFont="1" applyFill="1" applyBorder="1" applyAlignment="1">
      <alignment horizontal="center" vertical="center"/>
    </xf>
    <xf numFmtId="0" fontId="5" fillId="6" borderId="7" xfId="0" applyNumberFormat="1" applyFont="1" applyFill="1" applyBorder="1" applyAlignment="1">
      <alignment horizontal="center" vertical="center"/>
    </xf>
    <xf numFmtId="0" fontId="5" fillId="7" borderId="7" xfId="0" applyNumberFormat="1" applyFont="1" applyFill="1" applyBorder="1" applyAlignment="1">
      <alignment horizontal="center" vertical="center"/>
    </xf>
    <xf numFmtId="0" fontId="5" fillId="13" borderId="7" xfId="0" applyNumberFormat="1" applyFont="1" applyFill="1" applyBorder="1" applyAlignment="1">
      <alignment horizontal="center" vertical="center"/>
    </xf>
    <xf numFmtId="165" fontId="3" fillId="2" borderId="7" xfId="0" applyNumberFormat="1" applyFont="1" applyFill="1" applyBorder="1" applyAlignment="1">
      <alignment horizontal="center" vertical="center"/>
    </xf>
    <xf numFmtId="165" fontId="3" fillId="14" borderId="7" xfId="0" applyNumberFormat="1" applyFont="1" applyFill="1" applyBorder="1" applyAlignment="1">
      <alignment horizontal="center" vertical="center"/>
    </xf>
    <xf numFmtId="0" fontId="3" fillId="14" borderId="7" xfId="0" applyFont="1" applyFill="1" applyBorder="1" applyAlignment="1">
      <alignment horizontal="center" vertical="center"/>
    </xf>
    <xf numFmtId="0" fontId="5" fillId="13" borderId="8" xfId="0" applyFont="1" applyFill="1" applyBorder="1" applyAlignment="1">
      <alignment horizontal="center" vertical="center"/>
    </xf>
    <xf numFmtId="165" fontId="3" fillId="2" borderId="8" xfId="0" applyNumberFormat="1" applyFont="1" applyFill="1" applyBorder="1" applyAlignment="1">
      <alignment horizontal="center" vertical="center"/>
    </xf>
    <xf numFmtId="0" fontId="3" fillId="14" borderId="8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165" fontId="3" fillId="3" borderId="8" xfId="0" applyNumberFormat="1" applyFont="1" applyFill="1" applyBorder="1" applyAlignment="1">
      <alignment horizontal="center" vertical="center"/>
    </xf>
    <xf numFmtId="165" fontId="3" fillId="8" borderId="8" xfId="0" applyNumberFormat="1" applyFont="1" applyFill="1" applyBorder="1" applyAlignment="1">
      <alignment horizontal="center" vertical="center"/>
    </xf>
    <xf numFmtId="0" fontId="5" fillId="9" borderId="8" xfId="0" applyNumberFormat="1" applyFont="1" applyFill="1" applyBorder="1" applyAlignment="1">
      <alignment horizontal="center" vertical="center"/>
    </xf>
    <xf numFmtId="165" fontId="3" fillId="4" borderId="8" xfId="0" applyNumberFormat="1" applyFont="1" applyFill="1" applyBorder="1" applyAlignment="1">
      <alignment horizontal="center" vertical="center"/>
    </xf>
    <xf numFmtId="165" fontId="3" fillId="10" borderId="8" xfId="0" applyNumberFormat="1" applyFont="1" applyFill="1" applyBorder="1" applyAlignment="1">
      <alignment horizontal="center" vertical="center"/>
    </xf>
    <xf numFmtId="0" fontId="5" fillId="11" borderId="8" xfId="0" applyNumberFormat="1" applyFont="1" applyFill="1" applyBorder="1" applyAlignment="1">
      <alignment horizontal="center" vertical="center"/>
    </xf>
    <xf numFmtId="165" fontId="3" fillId="5" borderId="8" xfId="0" applyNumberFormat="1" applyFont="1" applyFill="1" applyBorder="1" applyAlignment="1">
      <alignment horizontal="center" vertical="center"/>
    </xf>
    <xf numFmtId="165" fontId="3" fillId="12" borderId="8" xfId="0" applyNumberFormat="1" applyFont="1" applyFill="1" applyBorder="1" applyAlignment="1">
      <alignment horizontal="center" vertical="center"/>
    </xf>
    <xf numFmtId="0" fontId="5" fillId="13" borderId="8" xfId="0" applyNumberFormat="1" applyFont="1" applyFill="1" applyBorder="1" applyAlignment="1">
      <alignment horizontal="center" vertical="center"/>
    </xf>
    <xf numFmtId="165" fontId="3" fillId="14" borderId="8" xfId="0" applyNumberFormat="1" applyFont="1" applyFill="1" applyBorder="1" applyAlignment="1">
      <alignment horizontal="center" vertical="center"/>
    </xf>
    <xf numFmtId="0" fontId="5" fillId="7" borderId="8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6" borderId="8" xfId="0" applyNumberFormat="1" applyFont="1" applyFill="1" applyBorder="1" applyAlignment="1">
      <alignment horizontal="center" vertical="center"/>
    </xf>
    <xf numFmtId="165" fontId="3" fillId="6" borderId="8" xfId="0" applyNumberFormat="1" applyFont="1" applyFill="1" applyBorder="1" applyAlignment="1">
      <alignment horizontal="center" vertical="center"/>
    </xf>
    <xf numFmtId="0" fontId="1" fillId="16" borderId="9" xfId="0" applyFont="1" applyFill="1" applyBorder="1" applyAlignment="1">
      <alignment horizontal="center" vertical="center"/>
    </xf>
    <xf numFmtId="0" fontId="1" fillId="16" borderId="10" xfId="0" applyFont="1" applyFill="1" applyBorder="1" applyAlignment="1">
      <alignment horizontal="center" vertical="center"/>
    </xf>
    <xf numFmtId="0" fontId="1" fillId="16" borderId="11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14" fontId="3" fillId="16" borderId="9" xfId="0" applyNumberFormat="1" applyFont="1" applyFill="1" applyBorder="1" applyAlignment="1">
      <alignment horizontal="center" vertical="center"/>
    </xf>
    <xf numFmtId="14" fontId="3" fillId="16" borderId="11" xfId="0" applyNumberFormat="1" applyFont="1" applyFill="1" applyBorder="1" applyAlignment="1">
      <alignment horizontal="center" vertical="center"/>
    </xf>
    <xf numFmtId="14" fontId="3" fillId="17" borderId="9" xfId="0" applyNumberFormat="1" applyFont="1" applyFill="1" applyBorder="1" applyAlignment="1">
      <alignment horizontal="center" vertical="center"/>
    </xf>
    <xf numFmtId="14" fontId="3" fillId="17" borderId="11" xfId="0" applyNumberFormat="1" applyFont="1" applyFill="1" applyBorder="1" applyAlignment="1">
      <alignment horizontal="center" vertical="center"/>
    </xf>
    <xf numFmtId="0" fontId="3" fillId="16" borderId="9" xfId="0" applyFont="1" applyFill="1" applyBorder="1" applyAlignment="1">
      <alignment horizontal="center" vertical="center"/>
    </xf>
    <xf numFmtId="0" fontId="3" fillId="16" borderId="11" xfId="0" applyFont="1" applyFill="1" applyBorder="1" applyAlignment="1">
      <alignment horizontal="center" vertical="center"/>
    </xf>
    <xf numFmtId="0" fontId="3" fillId="17" borderId="9" xfId="0" applyFont="1" applyFill="1" applyBorder="1" applyAlignment="1">
      <alignment horizontal="center" vertical="center"/>
    </xf>
    <xf numFmtId="0" fontId="3" fillId="17" borderId="11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5" fillId="18" borderId="8" xfId="0" applyFont="1" applyFill="1" applyBorder="1" applyAlignment="1">
      <alignment horizontal="center" vertical="center"/>
    </xf>
    <xf numFmtId="165" fontId="3" fillId="18" borderId="8" xfId="0" applyNumberFormat="1" applyFont="1" applyFill="1" applyBorder="1" applyAlignment="1">
      <alignment horizontal="center" vertical="center"/>
    </xf>
    <xf numFmtId="165" fontId="3" fillId="7" borderId="8" xfId="0" applyNumberFormat="1" applyFont="1" applyFill="1" applyBorder="1" applyAlignment="1">
      <alignment horizontal="center" vertical="center"/>
    </xf>
    <xf numFmtId="0" fontId="5" fillId="19" borderId="8" xfId="0" applyNumberFormat="1" applyFont="1" applyFill="1" applyBorder="1" applyAlignment="1">
      <alignment horizontal="center" vertical="center"/>
    </xf>
    <xf numFmtId="165" fontId="3" fillId="19" borderId="8" xfId="0" applyNumberFormat="1" applyFont="1" applyFill="1" applyBorder="1" applyAlignment="1">
      <alignment horizontal="center" vertical="center"/>
    </xf>
    <xf numFmtId="0" fontId="0" fillId="18" borderId="0" xfId="0" applyFill="1" applyAlignment="1">
      <alignment vertical="center"/>
    </xf>
    <xf numFmtId="0" fontId="5" fillId="18" borderId="8" xfId="0" applyNumberFormat="1" applyFont="1" applyFill="1" applyBorder="1" applyAlignment="1">
      <alignment horizontal="center" vertical="center"/>
    </xf>
    <xf numFmtId="165" fontId="6" fillId="18" borderId="8" xfId="0" applyNumberFormat="1" applyFont="1" applyFill="1" applyBorder="1" applyAlignment="1">
      <alignment horizontal="center" vertical="center"/>
    </xf>
    <xf numFmtId="0" fontId="3" fillId="15" borderId="0" xfId="0" applyFont="1" applyFill="1" applyBorder="1" applyAlignment="1">
      <alignment horizontal="center" vertical="center"/>
    </xf>
    <xf numFmtId="0" fontId="4" fillId="15" borderId="0" xfId="0" applyFont="1" applyFill="1" applyBorder="1" applyAlignment="1">
      <alignment horizontal="center" vertical="center"/>
    </xf>
    <xf numFmtId="1" fontId="3" fillId="15" borderId="0" xfId="0" applyNumberFormat="1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</cellXfs>
  <cellStyles count="1">
    <cellStyle name="Normal" xfId="0" builtinId="0"/>
  </cellStyles>
  <dxfs count="42"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rgb="FFFF0000"/>
      </font>
      <fill>
        <patternFill>
          <bgColor theme="2" tint="-0.24994659260841701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 val="0"/>
        <i/>
      </font>
      <fill>
        <patternFill>
          <bgColor rgb="FF7030A0"/>
        </patternFill>
      </fill>
    </dxf>
    <dxf>
      <font>
        <b/>
        <i/>
        <strike val="0"/>
        <color rgb="FF0000CC"/>
      </font>
      <fill>
        <patternFill>
          <bgColor theme="0" tint="-0.499984740745262"/>
        </patternFill>
      </fill>
    </dxf>
    <dxf>
      <fill>
        <patternFill>
          <bgColor theme="1" tint="4.9989318521683403E-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endrier%20vierge%20version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 DPX"/>
      <sheetName val="Fevrier DPX"/>
      <sheetName val="Mars DPX"/>
      <sheetName val="Avril DPX"/>
      <sheetName val="Mai DPX"/>
      <sheetName val="Juin DPX"/>
      <sheetName val="Juillet DPX"/>
      <sheetName val="Aout DPX"/>
      <sheetName val="Septembre DPX"/>
      <sheetName val="Octobre DPX"/>
      <sheetName val="Novembre DPX"/>
      <sheetName val="Decembre DPX"/>
      <sheetName val="Global"/>
      <sheetName val="Côme"/>
      <sheetName val="Laurent"/>
      <sheetName val="Hoarau"/>
      <sheetName val="Geneau"/>
      <sheetName val="Morel"/>
      <sheetName val="Gainon"/>
      <sheetName val="Misulic"/>
      <sheetName val="Diallo"/>
      <sheetName val="Bachar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Donnee"/>
      <sheetName val="Liste feri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3">
          <cell r="A3" t="str">
            <v>C</v>
          </cell>
        </row>
      </sheetData>
      <sheetData sheetId="3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42"/>
  <sheetViews>
    <sheetView tabSelected="1" workbookViewId="0">
      <selection activeCell="G11" sqref="G11"/>
    </sheetView>
  </sheetViews>
  <sheetFormatPr baseColWidth="10" defaultRowHeight="15" x14ac:dyDescent="0.25"/>
  <cols>
    <col min="1" max="1" width="4.28515625" customWidth="1"/>
    <col min="2" max="2" width="7.140625" customWidth="1"/>
    <col min="3" max="3" width="6.42578125" customWidth="1"/>
    <col min="4" max="4" width="2.140625" customWidth="1"/>
    <col min="5" max="5" width="4.140625" customWidth="1"/>
    <col min="6" max="6" width="7.140625" customWidth="1"/>
    <col min="7" max="7" width="4.5703125" customWidth="1"/>
    <col min="8" max="8" width="1.42578125" customWidth="1"/>
    <col min="9" max="9" width="5" customWidth="1"/>
    <col min="10" max="10" width="7" customWidth="1"/>
    <col min="11" max="11" width="5.7109375" customWidth="1"/>
    <col min="12" max="12" width="1.42578125" customWidth="1"/>
    <col min="13" max="13" width="5" customWidth="1"/>
    <col min="14" max="14" width="7" customWidth="1"/>
    <col min="15" max="15" width="5.42578125" customWidth="1"/>
    <col min="16" max="16" width="1.42578125" customWidth="1"/>
    <col min="17" max="17" width="3.28515625" customWidth="1"/>
    <col min="18" max="18" width="7.85546875" customWidth="1"/>
    <col min="19" max="19" width="5.7109375" customWidth="1"/>
    <col min="20" max="20" width="1.42578125" customWidth="1"/>
    <col min="21" max="21" width="3.5703125" customWidth="1"/>
    <col min="22" max="22" width="6.140625" customWidth="1"/>
    <col min="23" max="23" width="6.42578125" customWidth="1"/>
    <col min="24" max="24" width="1.7109375" customWidth="1"/>
    <col min="25" max="25" width="3.42578125" customWidth="1"/>
    <col min="26" max="26" width="7.85546875" customWidth="1"/>
    <col min="27" max="27" width="5.5703125" customWidth="1"/>
    <col min="28" max="28" width="1" customWidth="1"/>
    <col min="29" max="29" width="5.7109375" customWidth="1"/>
    <col min="30" max="30" width="6.42578125" customWidth="1"/>
    <col min="31" max="31" width="5.42578125" customWidth="1"/>
    <col min="32" max="32" width="1.42578125" customWidth="1"/>
    <col min="33" max="33" width="4" customWidth="1"/>
    <col min="34" max="34" width="6.7109375" customWidth="1"/>
    <col min="35" max="35" width="5.28515625" customWidth="1"/>
    <col min="36" max="36" width="1.85546875" customWidth="1"/>
    <col min="37" max="37" width="3.85546875" customWidth="1"/>
    <col min="38" max="38" width="6.5703125" customWidth="1"/>
    <col min="39" max="39" width="5.5703125" customWidth="1"/>
    <col min="40" max="40" width="2" customWidth="1"/>
    <col min="41" max="41" width="4.7109375" customWidth="1"/>
    <col min="42" max="42" width="6.42578125" customWidth="1"/>
    <col min="43" max="43" width="6.28515625" customWidth="1"/>
    <col min="44" max="44" width="1.85546875" customWidth="1"/>
    <col min="45" max="45" width="4" customWidth="1"/>
    <col min="46" max="46" width="6.42578125" customWidth="1"/>
    <col min="47" max="47" width="5" customWidth="1"/>
    <col min="48" max="48" width="1.28515625" customWidth="1"/>
    <col min="50" max="50" width="4.42578125" customWidth="1"/>
    <col min="51" max="51" width="7.5703125" customWidth="1"/>
    <col min="52" max="52" width="7" customWidth="1"/>
  </cols>
  <sheetData>
    <row r="1" spans="1:52" ht="24" thickBot="1" x14ac:dyDescent="0.3">
      <c r="A1" s="1" t="s">
        <v>0</v>
      </c>
      <c r="B1" s="2"/>
      <c r="C1" s="3"/>
      <c r="E1" s="4" t="s">
        <v>1</v>
      </c>
      <c r="F1" s="5"/>
      <c r="G1" s="5"/>
      <c r="I1" s="6" t="s">
        <v>2</v>
      </c>
      <c r="J1" s="6"/>
      <c r="K1" s="6"/>
      <c r="M1" s="7" t="s">
        <v>3</v>
      </c>
      <c r="N1" s="7"/>
      <c r="O1" s="7"/>
      <c r="Q1" s="8" t="s">
        <v>4</v>
      </c>
      <c r="R1" s="9"/>
      <c r="S1" s="10"/>
      <c r="U1" s="11" t="s">
        <v>5</v>
      </c>
      <c r="V1" s="12"/>
      <c r="W1" s="13"/>
      <c r="Y1" s="14" t="s">
        <v>6</v>
      </c>
      <c r="Z1" s="15"/>
      <c r="AA1" s="16"/>
      <c r="AC1" s="8" t="s">
        <v>7</v>
      </c>
      <c r="AD1" s="9"/>
      <c r="AE1" s="10"/>
      <c r="AG1" s="11" t="s">
        <v>8</v>
      </c>
      <c r="AH1" s="12"/>
      <c r="AI1" s="13"/>
      <c r="AK1" s="14" t="s">
        <v>9</v>
      </c>
      <c r="AL1" s="15"/>
      <c r="AM1" s="16"/>
      <c r="AO1" s="17" t="s">
        <v>10</v>
      </c>
      <c r="AP1" s="18"/>
      <c r="AQ1" s="18"/>
      <c r="AS1" s="1" t="s">
        <v>11</v>
      </c>
      <c r="AT1" s="2"/>
      <c r="AU1" s="3"/>
      <c r="AV1" s="19"/>
      <c r="AW1" s="78"/>
      <c r="AX1" s="79"/>
      <c r="AY1" s="79"/>
      <c r="AZ1" s="79"/>
    </row>
    <row r="2" spans="1:52" ht="15.75" x14ac:dyDescent="0.25">
      <c r="A2" s="20"/>
      <c r="B2" s="21">
        <f>DATE($K$1,1,1)</f>
        <v>1</v>
      </c>
      <c r="C2" s="22"/>
      <c r="E2" s="23">
        <f>_xlfn.ISOWEEKNUM(F2)</f>
        <v>5</v>
      </c>
      <c r="F2" s="24">
        <f>DATE($K$1,2,1)</f>
        <v>32</v>
      </c>
      <c r="G2" s="25"/>
      <c r="I2" s="26"/>
      <c r="J2" s="27">
        <f>DATE($K$1,3,1)</f>
        <v>61</v>
      </c>
      <c r="K2" s="28"/>
      <c r="M2" s="29"/>
      <c r="N2" s="30">
        <f>DATE($K$1,4,1)</f>
        <v>92</v>
      </c>
      <c r="O2" s="31"/>
      <c r="Q2" s="32"/>
      <c r="R2" s="21">
        <f>DATE($K$1,5,1)</f>
        <v>122</v>
      </c>
      <c r="S2" s="21"/>
      <c r="U2" s="33"/>
      <c r="V2" s="24">
        <f>DATE($K$1,6,1)</f>
        <v>153</v>
      </c>
      <c r="W2" s="25"/>
      <c r="Y2" s="26"/>
      <c r="Z2" s="27">
        <f>DATE($K$1,7,1)</f>
        <v>183</v>
      </c>
      <c r="AA2" s="28"/>
      <c r="AC2" s="34"/>
      <c r="AD2" s="35">
        <f>DATE($K$1,8,1)</f>
        <v>214</v>
      </c>
      <c r="AE2" s="36"/>
      <c r="AG2" s="33"/>
      <c r="AH2" s="24">
        <f>DATE($K$1,9,1)</f>
        <v>245</v>
      </c>
      <c r="AI2" s="25"/>
      <c r="AK2" s="26"/>
      <c r="AL2" s="27">
        <f>DATE($K$1,10,1)</f>
        <v>275</v>
      </c>
      <c r="AM2" s="28"/>
      <c r="AO2" s="32"/>
      <c r="AP2" s="21">
        <f>DATE($K$1,11,1)</f>
        <v>306</v>
      </c>
      <c r="AQ2" s="21"/>
      <c r="AS2" s="34"/>
      <c r="AT2" s="35">
        <f>DATE($K$1,12,1)</f>
        <v>336</v>
      </c>
      <c r="AU2" s="37"/>
      <c r="AV2" s="19"/>
      <c r="AW2" s="78"/>
      <c r="AX2" s="78"/>
      <c r="AY2" s="78"/>
      <c r="AZ2" s="78"/>
    </row>
    <row r="3" spans="1:52" ht="15.75" x14ac:dyDescent="0.25">
      <c r="A3" s="38"/>
      <c r="B3" s="39">
        <f>DATE($K$1,1,2)</f>
        <v>2</v>
      </c>
      <c r="C3" s="40"/>
      <c r="E3" s="41"/>
      <c r="F3" s="42">
        <f>DATE($K$1,2,2)</f>
        <v>33</v>
      </c>
      <c r="G3" s="43"/>
      <c r="I3" s="44">
        <f>_xlfn.ISOWEEKNUM(J3)</f>
        <v>9</v>
      </c>
      <c r="J3" s="45">
        <f>DATE($K$1,3,2)</f>
        <v>62</v>
      </c>
      <c r="K3" s="46"/>
      <c r="M3" s="47"/>
      <c r="N3" s="48">
        <f>DATE($K$1,4,2)</f>
        <v>93</v>
      </c>
      <c r="O3" s="49"/>
      <c r="Q3" s="50"/>
      <c r="R3" s="39">
        <f>DATE($K$1,5,2)</f>
        <v>123</v>
      </c>
      <c r="S3" s="51"/>
      <c r="U3" s="52"/>
      <c r="V3" s="42">
        <f>DATE($K$1,6,2)</f>
        <v>154</v>
      </c>
      <c r="W3" s="43"/>
      <c r="Y3" s="44"/>
      <c r="Z3" s="45">
        <f>DATE($K$1,7,2)</f>
        <v>184</v>
      </c>
      <c r="AA3" s="46"/>
      <c r="AC3" s="50">
        <f>_xlfn.ISOWEEKNUM(AD3)</f>
        <v>31</v>
      </c>
      <c r="AD3" s="39">
        <f>DATE($K$1,8,2)</f>
        <v>215</v>
      </c>
      <c r="AE3" s="51"/>
      <c r="AG3" s="52"/>
      <c r="AH3" s="42">
        <f>DATE($K$1,9,2)</f>
        <v>246</v>
      </c>
      <c r="AI3" s="43"/>
      <c r="AK3" s="44"/>
      <c r="AL3" s="45">
        <f>DATE($K$1,10,2)</f>
        <v>276</v>
      </c>
      <c r="AM3" s="46"/>
      <c r="AO3" s="47"/>
      <c r="AP3" s="48">
        <f>DATE($K$1,11,2)</f>
        <v>307</v>
      </c>
      <c r="AQ3" s="49"/>
      <c r="AS3" s="50"/>
      <c r="AT3" s="39">
        <f>DATE($K$1,12,2)</f>
        <v>337</v>
      </c>
      <c r="AU3" s="40"/>
      <c r="AV3" s="53"/>
      <c r="AW3" s="78"/>
      <c r="AX3" s="78"/>
      <c r="AY3" s="78"/>
      <c r="AZ3" s="78"/>
    </row>
    <row r="4" spans="1:52" ht="15.75" x14ac:dyDescent="0.25">
      <c r="A4" s="38"/>
      <c r="B4" s="39">
        <f>DATE($K$1,1,3)</f>
        <v>3</v>
      </c>
      <c r="C4" s="40"/>
      <c r="E4" s="41"/>
      <c r="F4" s="42">
        <f>DATE($K$1,2,3)</f>
        <v>34</v>
      </c>
      <c r="G4" s="43"/>
      <c r="I4" s="44"/>
      <c r="J4" s="45">
        <f>DATE($K$1,3,3)</f>
        <v>63</v>
      </c>
      <c r="K4" s="46"/>
      <c r="M4" s="47"/>
      <c r="N4" s="48">
        <f>DATE($K$1,4,3)</f>
        <v>94</v>
      </c>
      <c r="O4" s="49"/>
      <c r="Q4" s="50">
        <f>_xlfn.ISOWEEKNUM(R4)</f>
        <v>18</v>
      </c>
      <c r="R4" s="39">
        <f>DATE($K$1,5,3)</f>
        <v>124</v>
      </c>
      <c r="S4" s="51"/>
      <c r="U4" s="52"/>
      <c r="V4" s="42">
        <f>DATE($K$1,6,3)</f>
        <v>155</v>
      </c>
      <c r="W4" s="43"/>
      <c r="Y4" s="44"/>
      <c r="Z4" s="45">
        <f>DATE($K$1,7,3)</f>
        <v>185</v>
      </c>
      <c r="AA4" s="46"/>
      <c r="AC4" s="50"/>
      <c r="AD4" s="39">
        <f>DATE($K$1,8,3)</f>
        <v>216</v>
      </c>
      <c r="AE4" s="51"/>
      <c r="AG4" s="52"/>
      <c r="AH4" s="42">
        <f>DATE($K$1,9,3)</f>
        <v>247</v>
      </c>
      <c r="AI4" s="43"/>
      <c r="AK4" s="44"/>
      <c r="AL4" s="45">
        <f>DATE($K$1,10,3)</f>
        <v>277</v>
      </c>
      <c r="AM4" s="46"/>
      <c r="AO4" s="47">
        <f>_xlfn.ISOWEEKNUM(AP4)</f>
        <v>44</v>
      </c>
      <c r="AP4" s="48">
        <f>DATE($K$1,11,3)</f>
        <v>308</v>
      </c>
      <c r="AQ4" s="49"/>
      <c r="AS4" s="50"/>
      <c r="AT4" s="39">
        <f>DATE($K$1,12,3)</f>
        <v>338</v>
      </c>
      <c r="AU4" s="40"/>
      <c r="AV4" s="53"/>
      <c r="AW4" s="78"/>
      <c r="AX4" s="78"/>
      <c r="AY4" s="78"/>
      <c r="AZ4" s="78"/>
    </row>
    <row r="5" spans="1:52" ht="15.75" x14ac:dyDescent="0.25">
      <c r="A5" s="38">
        <f>_xlfn.ISOWEEKNUM(B5)</f>
        <v>1</v>
      </c>
      <c r="B5" s="39">
        <f>DATE($K$1,1,4)</f>
        <v>4</v>
      </c>
      <c r="C5" s="40"/>
      <c r="E5" s="41"/>
      <c r="F5" s="42">
        <f>DATE($K$1,2,4)</f>
        <v>35</v>
      </c>
      <c r="G5" s="43"/>
      <c r="I5" s="44"/>
      <c r="J5" s="45">
        <f>DATE($K$1,3,4)</f>
        <v>64</v>
      </c>
      <c r="K5" s="46"/>
      <c r="M5" s="47"/>
      <c r="N5" s="48">
        <f>DATE($K$1,4,4)</f>
        <v>95</v>
      </c>
      <c r="O5" s="49"/>
      <c r="Q5" s="50"/>
      <c r="R5" s="39">
        <f>DATE($K$1,5,4)</f>
        <v>125</v>
      </c>
      <c r="S5" s="51"/>
      <c r="U5" s="52"/>
      <c r="V5" s="42">
        <f>DATE($K$1,6,4)</f>
        <v>156</v>
      </c>
      <c r="W5" s="43"/>
      <c r="Y5" s="44"/>
      <c r="Z5" s="45">
        <f>DATE($K$1,7,4)</f>
        <v>186</v>
      </c>
      <c r="AA5" s="46"/>
      <c r="AC5" s="50"/>
      <c r="AD5" s="39">
        <f>DATE($K$1,8,4)</f>
        <v>217</v>
      </c>
      <c r="AE5" s="51"/>
      <c r="AG5" s="52"/>
      <c r="AH5" s="42">
        <f>DATE($K$1,9,4)</f>
        <v>248</v>
      </c>
      <c r="AI5" s="43"/>
      <c r="AK5" s="44">
        <f>_xlfn.ISOWEEKNUM(AL5)</f>
        <v>40</v>
      </c>
      <c r="AL5" s="45">
        <f>DATE($K$1,10,4)</f>
        <v>278</v>
      </c>
      <c r="AM5" s="46"/>
      <c r="AO5" s="47"/>
      <c r="AP5" s="48">
        <f>DATE($K$1,11,4)</f>
        <v>309</v>
      </c>
      <c r="AQ5" s="49"/>
      <c r="AS5" s="50">
        <f>_xlfn.ISOWEEKNUM(AT5)</f>
        <v>49</v>
      </c>
      <c r="AT5" s="39">
        <f>DATE($K$1,12,4)</f>
        <v>339</v>
      </c>
      <c r="AU5" s="40"/>
      <c r="AV5" s="53"/>
      <c r="AW5" s="78"/>
      <c r="AX5" s="78"/>
      <c r="AY5" s="78"/>
      <c r="AZ5" s="78"/>
    </row>
    <row r="6" spans="1:52" ht="15.75" x14ac:dyDescent="0.25">
      <c r="A6" s="38"/>
      <c r="B6" s="39">
        <f>DATE($K$1,1,5)</f>
        <v>5</v>
      </c>
      <c r="C6" s="40"/>
      <c r="E6" s="41"/>
      <c r="F6" s="42">
        <f>DATE($K$1,2,5)</f>
        <v>36</v>
      </c>
      <c r="G6" s="43"/>
      <c r="I6" s="44"/>
      <c r="J6" s="45">
        <f>DATE($K$1,3,5)</f>
        <v>65</v>
      </c>
      <c r="K6" s="46"/>
      <c r="M6" s="47">
        <f>_xlfn.ISOWEEKNUM(N6)</f>
        <v>14</v>
      </c>
      <c r="N6" s="48">
        <f>DATE($K$1,4,5)</f>
        <v>96</v>
      </c>
      <c r="O6" s="49"/>
      <c r="Q6" s="50"/>
      <c r="R6" s="39">
        <f>DATE($K$1,5,5)</f>
        <v>126</v>
      </c>
      <c r="S6" s="51"/>
      <c r="U6" s="52"/>
      <c r="V6" s="42">
        <f>DATE($K$1,6,5)</f>
        <v>157</v>
      </c>
      <c r="W6" s="43"/>
      <c r="Y6" s="44">
        <f>_xlfn.ISOWEEKNUM(Z6)</f>
        <v>27</v>
      </c>
      <c r="Z6" s="45">
        <f>DATE($K$1,7,5)</f>
        <v>187</v>
      </c>
      <c r="AA6" s="46" t="s">
        <v>17</v>
      </c>
      <c r="AC6" s="50"/>
      <c r="AD6" s="39">
        <f>DATE($K$1,8,5)</f>
        <v>218</v>
      </c>
      <c r="AE6" s="51"/>
      <c r="AG6" s="52"/>
      <c r="AH6" s="42">
        <f>DATE($K$1,9,5)</f>
        <v>249</v>
      </c>
      <c r="AI6" s="43"/>
      <c r="AK6" s="44"/>
      <c r="AL6" s="45">
        <f>DATE($K$1,10,5)</f>
        <v>279</v>
      </c>
      <c r="AM6" s="46"/>
      <c r="AO6" s="47"/>
      <c r="AP6" s="48">
        <f>DATE($K$1,11,5)</f>
        <v>310</v>
      </c>
      <c r="AQ6" s="49"/>
      <c r="AS6" s="50"/>
      <c r="AT6" s="39">
        <f>DATE($K$1,12,5)</f>
        <v>340</v>
      </c>
      <c r="AU6" s="40"/>
      <c r="AV6" s="53"/>
      <c r="AW6" s="78"/>
      <c r="AX6" s="78"/>
      <c r="AY6" s="78"/>
      <c r="AZ6" s="78"/>
    </row>
    <row r="7" spans="1:52" ht="15.75" x14ac:dyDescent="0.25">
      <c r="A7" s="38"/>
      <c r="B7" s="39">
        <f>DATE($K$1,1,6)</f>
        <v>6</v>
      </c>
      <c r="C7" s="40"/>
      <c r="E7" s="41"/>
      <c r="F7" s="42">
        <f>DATE($K$1,2,6)</f>
        <v>37</v>
      </c>
      <c r="G7" s="43"/>
      <c r="I7" s="44"/>
      <c r="J7" s="45">
        <f>DATE($K$1,3,6)</f>
        <v>66</v>
      </c>
      <c r="K7" s="46"/>
      <c r="M7" s="47"/>
      <c r="N7" s="48">
        <f>DATE($K$1,4,6)</f>
        <v>97</v>
      </c>
      <c r="O7" s="49"/>
      <c r="Q7" s="50"/>
      <c r="R7" s="39">
        <f>DATE($K$1,5,6)</f>
        <v>127</v>
      </c>
      <c r="S7" s="51"/>
      <c r="U7" s="52"/>
      <c r="V7" s="42">
        <f>DATE($K$1,6,6)</f>
        <v>158</v>
      </c>
      <c r="W7" s="43"/>
      <c r="Y7" s="44"/>
      <c r="Z7" s="45">
        <f>DATE($K$1,7,6)</f>
        <v>188</v>
      </c>
      <c r="AA7" s="46" t="s">
        <v>18</v>
      </c>
      <c r="AC7" s="50"/>
      <c r="AD7" s="39">
        <f>DATE($K$1,8,6)</f>
        <v>219</v>
      </c>
      <c r="AE7" s="51"/>
      <c r="AG7" s="52">
        <f>_xlfn.ISOWEEKNUM(AH7)</f>
        <v>36</v>
      </c>
      <c r="AH7" s="42">
        <f>DATE($K$1,9,6)</f>
        <v>250</v>
      </c>
      <c r="AI7" s="43"/>
      <c r="AK7" s="44"/>
      <c r="AL7" s="45">
        <f>DATE($K$1,10,6)</f>
        <v>280</v>
      </c>
      <c r="AM7" s="46"/>
      <c r="AO7" s="47"/>
      <c r="AP7" s="48">
        <f>DATE($K$1,11,6)</f>
        <v>311</v>
      </c>
      <c r="AQ7" s="49"/>
      <c r="AS7" s="50"/>
      <c r="AT7" s="39">
        <f>DATE($K$1,12,6)</f>
        <v>341</v>
      </c>
      <c r="AU7" s="40"/>
      <c r="AV7" s="53"/>
      <c r="AW7" s="78"/>
      <c r="AX7" s="80"/>
      <c r="AY7" s="78"/>
      <c r="AZ7" s="78"/>
    </row>
    <row r="8" spans="1:52" ht="15.75" x14ac:dyDescent="0.25">
      <c r="A8" s="38"/>
      <c r="B8" s="39">
        <f>DATE($K$1,1,7)</f>
        <v>7</v>
      </c>
      <c r="C8" s="40"/>
      <c r="E8" s="41"/>
      <c r="F8" s="42">
        <f>DATE($K$1,2,7)</f>
        <v>38</v>
      </c>
      <c r="G8" s="43"/>
      <c r="I8" s="44"/>
      <c r="J8" s="45">
        <f>DATE($K$1,3,7)</f>
        <v>67</v>
      </c>
      <c r="K8" s="46"/>
      <c r="M8" s="47"/>
      <c r="N8" s="48">
        <f>DATE($K$1,4,7)</f>
        <v>98</v>
      </c>
      <c r="O8" s="49"/>
      <c r="Q8" s="50"/>
      <c r="R8" s="39">
        <f>DATE($K$1,5,7)</f>
        <v>128</v>
      </c>
      <c r="S8" s="51"/>
      <c r="U8" s="52">
        <f>_xlfn.ISOWEEKNUM(V8)</f>
        <v>23</v>
      </c>
      <c r="V8" s="42">
        <f>DATE($K$1,6,7)</f>
        <v>159</v>
      </c>
      <c r="W8" s="43"/>
      <c r="Y8" s="44"/>
      <c r="Z8" s="45">
        <f>DATE($K$1,7,7)</f>
        <v>189</v>
      </c>
      <c r="AA8" s="46"/>
      <c r="AC8" s="50"/>
      <c r="AD8" s="39">
        <f>DATE($K$1,8,7)</f>
        <v>220</v>
      </c>
      <c r="AE8" s="51"/>
      <c r="AG8" s="52"/>
      <c r="AH8" s="42">
        <f>DATE($K$1,9,7)</f>
        <v>251</v>
      </c>
      <c r="AI8" s="43"/>
      <c r="AK8" s="44"/>
      <c r="AL8" s="45">
        <f>DATE($K$1,10,7)</f>
        <v>281</v>
      </c>
      <c r="AM8" s="46"/>
      <c r="AO8" s="47">
        <f>_xlfn.ISOWEEKNUM(AP8)</f>
        <v>45</v>
      </c>
      <c r="AP8" s="48">
        <f>DATE($K$1,11,7)</f>
        <v>312</v>
      </c>
      <c r="AQ8" s="49"/>
      <c r="AS8" s="50"/>
      <c r="AT8" s="39">
        <f>DATE($K$1,12,7)</f>
        <v>342</v>
      </c>
      <c r="AU8" s="40"/>
      <c r="AV8" s="53"/>
      <c r="AW8" s="78"/>
      <c r="AX8" s="78"/>
      <c r="AY8" s="78"/>
      <c r="AZ8" s="78"/>
    </row>
    <row r="9" spans="1:52" ht="15.75" x14ac:dyDescent="0.25">
      <c r="A9" s="38"/>
      <c r="B9" s="39">
        <f>DATE($K$1,1,8)</f>
        <v>8</v>
      </c>
      <c r="C9" s="40"/>
      <c r="E9" s="41">
        <f>_xlfn.ISOWEEKNUM(F9)</f>
        <v>6</v>
      </c>
      <c r="F9" s="42">
        <f>DATE($K$1,2,8)</f>
        <v>39</v>
      </c>
      <c r="G9" s="43"/>
      <c r="I9" s="44">
        <f>_xlfn.ISOWEEKNUM(J9)</f>
        <v>10</v>
      </c>
      <c r="J9" s="45">
        <f>DATE($K$1,3,8)</f>
        <v>68</v>
      </c>
      <c r="K9" s="46"/>
      <c r="M9" s="47"/>
      <c r="N9" s="48">
        <f>DATE($K$1,4,8)</f>
        <v>99</v>
      </c>
      <c r="O9" s="49"/>
      <c r="Q9" s="54"/>
      <c r="R9" s="55">
        <f>DATE($K$1,5,8)</f>
        <v>129</v>
      </c>
      <c r="S9" s="55"/>
      <c r="U9" s="52"/>
      <c r="V9" s="42">
        <f>DATE($K$1,6,8)</f>
        <v>160</v>
      </c>
      <c r="W9" s="43"/>
      <c r="Y9" s="44"/>
      <c r="Z9" s="45">
        <f>DATE($K$1,7,8)</f>
        <v>190</v>
      </c>
      <c r="AA9" s="46"/>
      <c r="AC9" s="50"/>
      <c r="AD9" s="39">
        <f>DATE($K$1,8,8)</f>
        <v>221</v>
      </c>
      <c r="AE9" s="51"/>
      <c r="AG9" s="52"/>
      <c r="AH9" s="42">
        <f>DATE($K$1,9,8)</f>
        <v>252</v>
      </c>
      <c r="AI9" s="43"/>
      <c r="AK9" s="44"/>
      <c r="AL9" s="45">
        <f>DATE($K$1,10,8)</f>
        <v>282</v>
      </c>
      <c r="AM9" s="46"/>
      <c r="AO9" s="47"/>
      <c r="AP9" s="48">
        <f>DATE($K$1,11,8)</f>
        <v>313</v>
      </c>
      <c r="AQ9" s="49"/>
      <c r="AS9" s="50"/>
      <c r="AT9" s="39">
        <f>DATE($K$1,12,8)</f>
        <v>343</v>
      </c>
      <c r="AU9" s="40"/>
      <c r="AV9" s="19"/>
      <c r="AW9" s="78"/>
      <c r="AX9" s="80"/>
      <c r="AY9" s="78"/>
      <c r="AZ9" s="78"/>
    </row>
    <row r="10" spans="1:52" ht="15.75" x14ac:dyDescent="0.25">
      <c r="A10" s="38"/>
      <c r="B10" s="39">
        <f>DATE($K$1,1,9)</f>
        <v>9</v>
      </c>
      <c r="C10" s="40"/>
      <c r="E10" s="41"/>
      <c r="F10" s="42">
        <f>DATE($K$1,2,9)</f>
        <v>40</v>
      </c>
      <c r="G10" s="43"/>
      <c r="I10" s="44"/>
      <c r="J10" s="45">
        <f>DATE($K$1,3,9)</f>
        <v>69</v>
      </c>
      <c r="K10" s="46"/>
      <c r="M10" s="47"/>
      <c r="N10" s="48">
        <f>DATE($K$1,4,9)</f>
        <v>100</v>
      </c>
      <c r="O10" s="49"/>
      <c r="Q10" s="50"/>
      <c r="R10" s="39">
        <f>DATE($K$1,5,9)</f>
        <v>130</v>
      </c>
      <c r="S10" s="51"/>
      <c r="U10" s="52"/>
      <c r="V10" s="42">
        <f>DATE($K$1,6,9)</f>
        <v>161</v>
      </c>
      <c r="W10" s="43"/>
      <c r="Y10" s="44"/>
      <c r="Z10" s="45">
        <f>DATE($K$1,7,9)</f>
        <v>191</v>
      </c>
      <c r="AA10" s="46" t="s">
        <v>16</v>
      </c>
      <c r="AC10" s="50">
        <f>_xlfn.ISOWEEKNUM(AD10)</f>
        <v>32</v>
      </c>
      <c r="AD10" s="39">
        <f>DATE($K$1,8,9)</f>
        <v>222</v>
      </c>
      <c r="AE10" s="51"/>
      <c r="AG10" s="52"/>
      <c r="AH10" s="42">
        <f>DATE($K$1,9,9)</f>
        <v>253</v>
      </c>
      <c r="AI10" s="43"/>
      <c r="AK10" s="44"/>
      <c r="AL10" s="45">
        <f>DATE($K$1,10,9)</f>
        <v>283</v>
      </c>
      <c r="AM10" s="46"/>
      <c r="AO10" s="47"/>
      <c r="AP10" s="48">
        <f>DATE($K$1,11,9)</f>
        <v>314</v>
      </c>
      <c r="AQ10" s="49"/>
      <c r="AS10" s="50"/>
      <c r="AT10" s="39">
        <f>DATE($K$1,12,9)</f>
        <v>344</v>
      </c>
      <c r="AU10" s="40"/>
      <c r="AV10" s="19"/>
      <c r="AW10" s="78"/>
      <c r="AX10" s="78"/>
      <c r="AY10" s="78"/>
      <c r="AZ10" s="78"/>
    </row>
    <row r="11" spans="1:52" ht="15.75" x14ac:dyDescent="0.25">
      <c r="A11" s="38"/>
      <c r="B11" s="39">
        <f>DATE($K$1,1,10)</f>
        <v>10</v>
      </c>
      <c r="C11" s="40"/>
      <c r="E11" s="41"/>
      <c r="F11" s="42">
        <f>DATE($K$1,2,10)</f>
        <v>41</v>
      </c>
      <c r="G11" s="43" t="s">
        <v>13</v>
      </c>
      <c r="I11" s="44"/>
      <c r="J11" s="45">
        <f>DATE($K$1,3,10)</f>
        <v>70</v>
      </c>
      <c r="K11" s="46"/>
      <c r="M11" s="47"/>
      <c r="N11" s="48">
        <f>DATE($K$1,4,10)</f>
        <v>101</v>
      </c>
      <c r="O11" s="49"/>
      <c r="Q11" s="50">
        <f>_xlfn.ISOWEEKNUM(R11)</f>
        <v>19</v>
      </c>
      <c r="R11" s="39">
        <f>DATE($K$1,5,10)</f>
        <v>131</v>
      </c>
      <c r="S11" s="51"/>
      <c r="U11" s="52"/>
      <c r="V11" s="42">
        <f>DATE($K$1,6,10)</f>
        <v>162</v>
      </c>
      <c r="W11" s="43"/>
      <c r="Y11" s="44"/>
      <c r="Z11" s="45">
        <f>DATE($K$1,7,10)</f>
        <v>192</v>
      </c>
      <c r="AA11" s="46" t="s">
        <v>13</v>
      </c>
      <c r="AC11" s="50"/>
      <c r="AD11" s="39">
        <f>DATE($K$1,8,10)</f>
        <v>223</v>
      </c>
      <c r="AE11" s="51"/>
      <c r="AG11" s="52"/>
      <c r="AH11" s="42">
        <f>DATE($K$1,9,10)</f>
        <v>254</v>
      </c>
      <c r="AI11" s="43"/>
      <c r="AK11" s="44"/>
      <c r="AL11" s="45">
        <f>DATE($K$1,10,10)</f>
        <v>284</v>
      </c>
      <c r="AM11" s="46"/>
      <c r="AO11" s="47"/>
      <c r="AP11" s="48">
        <f>DATE($K$1,11,10)</f>
        <v>315</v>
      </c>
      <c r="AQ11" s="49"/>
      <c r="AS11" s="50">
        <f>_xlfn.ISOWEEKNUM(AT11)</f>
        <v>50</v>
      </c>
      <c r="AT11" s="39">
        <f>DATE($K$1,12,10)</f>
        <v>345</v>
      </c>
      <c r="AU11" s="40"/>
      <c r="AV11" s="19"/>
      <c r="AW11" s="56" t="s">
        <v>12</v>
      </c>
      <c r="AX11" s="57"/>
      <c r="AY11" s="57"/>
      <c r="AZ11" s="58" t="s">
        <v>13</v>
      </c>
    </row>
    <row r="12" spans="1:52" ht="15.75" x14ac:dyDescent="0.25">
      <c r="A12" s="38">
        <f>_xlfn.ISOWEEKNUM(B12)</f>
        <v>2</v>
      </c>
      <c r="B12" s="39">
        <f>DATE($K$1,1,11)</f>
        <v>11</v>
      </c>
      <c r="C12" s="40"/>
      <c r="E12" s="41"/>
      <c r="F12" s="42">
        <f>DATE($K$1,2,11)</f>
        <v>42</v>
      </c>
      <c r="G12" s="43"/>
      <c r="I12" s="44"/>
      <c r="J12" s="45">
        <f>DATE($K$1,3,11)</f>
        <v>71</v>
      </c>
      <c r="K12" s="46"/>
      <c r="M12" s="47"/>
      <c r="N12" s="48">
        <f>DATE($K$1,4,11)</f>
        <v>102</v>
      </c>
      <c r="O12" s="49"/>
      <c r="Q12" s="50"/>
      <c r="R12" s="39">
        <f>DATE($K$1,5,11)</f>
        <v>132</v>
      </c>
      <c r="S12" s="51"/>
      <c r="U12" s="52"/>
      <c r="V12" s="42">
        <f>DATE($K$1,6,11)</f>
        <v>163</v>
      </c>
      <c r="W12" s="43"/>
      <c r="Y12" s="44"/>
      <c r="Z12" s="45">
        <f>DATE($K$1,7,11)</f>
        <v>193</v>
      </c>
      <c r="AA12" s="46" t="s">
        <v>14</v>
      </c>
      <c r="AC12" s="50"/>
      <c r="AD12" s="39">
        <f>DATE($K$1,8,11)</f>
        <v>224</v>
      </c>
      <c r="AE12" s="51"/>
      <c r="AG12" s="52"/>
      <c r="AH12" s="42">
        <f>DATE($K$1,9,11)</f>
        <v>255</v>
      </c>
      <c r="AI12" s="43"/>
      <c r="AK12" s="44">
        <f>_xlfn.ISOWEEKNUM(AL12)</f>
        <v>41</v>
      </c>
      <c r="AL12" s="45">
        <f>DATE($K$1,10,11)</f>
        <v>285</v>
      </c>
      <c r="AM12" s="46"/>
      <c r="AO12" s="54"/>
      <c r="AP12" s="55">
        <f>DATE($K$1,11,11)</f>
        <v>316</v>
      </c>
      <c r="AQ12" s="55"/>
      <c r="AS12" s="50"/>
      <c r="AT12" s="39">
        <f>DATE($K$1,12,11)</f>
        <v>346</v>
      </c>
      <c r="AU12" s="40"/>
      <c r="AV12" s="19"/>
      <c r="AW12" s="59" t="s">
        <v>19</v>
      </c>
      <c r="AX12" s="60"/>
      <c r="AY12" s="81" t="s">
        <v>20</v>
      </c>
      <c r="AZ12" s="82"/>
    </row>
    <row r="13" spans="1:52" ht="15.75" x14ac:dyDescent="0.25">
      <c r="A13" s="38"/>
      <c r="B13" s="39">
        <f>DATE($K$1,1,12)</f>
        <v>12</v>
      </c>
      <c r="C13" s="40"/>
      <c r="E13" s="41"/>
      <c r="F13" s="42">
        <f>DATE($K$1,2,12)</f>
        <v>43</v>
      </c>
      <c r="G13" s="43"/>
      <c r="I13" s="44"/>
      <c r="J13" s="45">
        <f>DATE($K$1,3,12)</f>
        <v>72</v>
      </c>
      <c r="K13" s="46"/>
      <c r="M13" s="47">
        <f>_xlfn.ISOWEEKNUM(N13)</f>
        <v>15</v>
      </c>
      <c r="N13" s="48">
        <f>DATE($K$1,4,12)</f>
        <v>103</v>
      </c>
      <c r="O13" s="49"/>
      <c r="Q13" s="50"/>
      <c r="R13" s="39">
        <f>DATE($K$1,5,12)</f>
        <v>133</v>
      </c>
      <c r="S13" s="51"/>
      <c r="U13" s="52"/>
      <c r="V13" s="42">
        <f>DATE($K$1,6,12)</f>
        <v>164</v>
      </c>
      <c r="W13" s="43"/>
      <c r="Y13" s="44">
        <f>_xlfn.ISOWEEKNUM(Z13)</f>
        <v>28</v>
      </c>
      <c r="Z13" s="45">
        <f>DATE($K$1,7,12)</f>
        <v>194</v>
      </c>
      <c r="AA13" s="46"/>
      <c r="AC13" s="50"/>
      <c r="AD13" s="39">
        <f>DATE($K$1,8,12)</f>
        <v>225</v>
      </c>
      <c r="AE13" s="51"/>
      <c r="AG13" s="52"/>
      <c r="AH13" s="42">
        <f>DATE($K$1,9,12)</f>
        <v>256</v>
      </c>
      <c r="AI13" s="43"/>
      <c r="AK13" s="44"/>
      <c r="AL13" s="45">
        <f>DATE($K$1,10,12)</f>
        <v>286</v>
      </c>
      <c r="AM13" s="46"/>
      <c r="AO13" s="47"/>
      <c r="AP13" s="48">
        <f>DATE($K$1,11,12)</f>
        <v>317</v>
      </c>
      <c r="AQ13" s="49"/>
      <c r="AS13" s="50"/>
      <c r="AT13" s="39">
        <f>DATE($K$1,12,12)</f>
        <v>347</v>
      </c>
      <c r="AU13" s="40"/>
      <c r="AV13" s="19"/>
      <c r="AW13" s="61"/>
      <c r="AX13" s="62"/>
      <c r="AY13" s="61"/>
      <c r="AZ13" s="62"/>
    </row>
    <row r="14" spans="1:52" ht="15.75" x14ac:dyDescent="0.25">
      <c r="A14" s="38"/>
      <c r="B14" s="39">
        <f>DATE($K$1,1,13)</f>
        <v>13</v>
      </c>
      <c r="C14" s="40"/>
      <c r="E14" s="41"/>
      <c r="F14" s="42">
        <f>DATE($K$1,2,13)</f>
        <v>44</v>
      </c>
      <c r="G14" s="43"/>
      <c r="I14" s="44"/>
      <c r="J14" s="45">
        <f>DATE($K$1,3,13)</f>
        <v>73</v>
      </c>
      <c r="K14" s="46"/>
      <c r="M14" s="47"/>
      <c r="N14" s="48">
        <f>DATE($K$1,4,13)</f>
        <v>104</v>
      </c>
      <c r="O14" s="49"/>
      <c r="Q14" s="50"/>
      <c r="R14" s="39">
        <f>DATE($K$1,5,13)</f>
        <v>134</v>
      </c>
      <c r="S14" s="51"/>
      <c r="U14" s="52"/>
      <c r="V14" s="42">
        <f>DATE($K$1,6,13)</f>
        <v>165</v>
      </c>
      <c r="W14" s="43" t="s">
        <v>13</v>
      </c>
      <c r="Y14" s="44"/>
      <c r="Z14" s="45">
        <f>DATE($K$1,7,13)</f>
        <v>195</v>
      </c>
      <c r="AA14" s="46"/>
      <c r="AC14" s="50"/>
      <c r="AD14" s="39">
        <f>DATE($K$1,8,13)</f>
        <v>226</v>
      </c>
      <c r="AE14" s="51"/>
      <c r="AG14" s="52">
        <f>_xlfn.ISOWEEKNUM(AH14)</f>
        <v>37</v>
      </c>
      <c r="AH14" s="42">
        <f>DATE($K$1,9,13)</f>
        <v>257</v>
      </c>
      <c r="AI14" s="43"/>
      <c r="AK14" s="44"/>
      <c r="AL14" s="45">
        <f>DATE($K$1,10,13)</f>
        <v>287</v>
      </c>
      <c r="AM14" s="46"/>
      <c r="AO14" s="47"/>
      <c r="AP14" s="48">
        <f>DATE($K$1,11,13)</f>
        <v>318</v>
      </c>
      <c r="AQ14" s="49"/>
      <c r="AS14" s="50"/>
      <c r="AT14" s="39">
        <f>DATE($K$1,12,13)</f>
        <v>348</v>
      </c>
      <c r="AU14" s="40"/>
      <c r="AV14" s="19"/>
      <c r="AW14" s="63"/>
      <c r="AX14" s="64"/>
      <c r="AY14" s="63"/>
      <c r="AZ14" s="64"/>
    </row>
    <row r="15" spans="1:52" ht="15.75" x14ac:dyDescent="0.25">
      <c r="A15" s="38"/>
      <c r="B15" s="39">
        <f>DATE($K$1,1,14)</f>
        <v>14</v>
      </c>
      <c r="C15" s="40"/>
      <c r="E15" s="41"/>
      <c r="F15" s="42">
        <f>DATE($K$1,2,14)</f>
        <v>45</v>
      </c>
      <c r="G15" s="43"/>
      <c r="I15" s="44"/>
      <c r="J15" s="45">
        <f>DATE($K$1,3,14)</f>
        <v>74</v>
      </c>
      <c r="K15" s="46"/>
      <c r="M15" s="47"/>
      <c r="N15" s="48">
        <f>DATE($K$1,4,14)</f>
        <v>105</v>
      </c>
      <c r="O15" s="49"/>
      <c r="Q15" s="50"/>
      <c r="R15" s="39">
        <f>DATE($K$1,5,14)</f>
        <v>135</v>
      </c>
      <c r="S15" s="51"/>
      <c r="U15" s="52">
        <f>_xlfn.ISOWEEKNUM(V15)</f>
        <v>24</v>
      </c>
      <c r="V15" s="42">
        <f>DATE($K$1,6,14)</f>
        <v>166</v>
      </c>
      <c r="W15" s="43" t="s">
        <v>15</v>
      </c>
      <c r="Y15" s="54"/>
      <c r="Z15" s="55">
        <f>DATE($K$1,7,14)</f>
        <v>196</v>
      </c>
      <c r="AA15" s="55"/>
      <c r="AC15" s="50"/>
      <c r="AD15" s="39">
        <f>DATE($K$1,8,14)</f>
        <v>227</v>
      </c>
      <c r="AE15" s="51"/>
      <c r="AG15" s="52"/>
      <c r="AH15" s="42">
        <f>DATE($K$1,9,14)</f>
        <v>258</v>
      </c>
      <c r="AI15" s="43"/>
      <c r="AK15" s="44"/>
      <c r="AL15" s="45">
        <f>DATE($K$1,10,14)</f>
        <v>288</v>
      </c>
      <c r="AM15" s="46"/>
      <c r="AO15" s="47">
        <f>_xlfn.ISOWEEKNUM(AP15)</f>
        <v>46</v>
      </c>
      <c r="AP15" s="48">
        <f>DATE($K$1,11,14)</f>
        <v>319</v>
      </c>
      <c r="AQ15" s="49"/>
      <c r="AS15" s="50"/>
      <c r="AT15" s="39">
        <f>DATE($K$1,12,14)</f>
        <v>349</v>
      </c>
      <c r="AU15" s="40"/>
      <c r="AV15" s="19"/>
      <c r="AW15" s="65"/>
      <c r="AX15" s="66"/>
      <c r="AY15" s="65"/>
      <c r="AZ15" s="66"/>
    </row>
    <row r="16" spans="1:52" ht="15.75" x14ac:dyDescent="0.25">
      <c r="A16" s="38"/>
      <c r="B16" s="39">
        <f>DATE($K$1,1,15)</f>
        <v>15</v>
      </c>
      <c r="C16" s="40"/>
      <c r="E16" s="41">
        <f>_xlfn.ISOWEEKNUM(F16)</f>
        <v>7</v>
      </c>
      <c r="F16" s="42">
        <f>DATE($K$1,2,15)</f>
        <v>46</v>
      </c>
      <c r="G16" s="43"/>
      <c r="I16" s="44">
        <f>_xlfn.ISOWEEKNUM(J16)</f>
        <v>11</v>
      </c>
      <c r="J16" s="45">
        <f>DATE($K$1,3,15)</f>
        <v>75</v>
      </c>
      <c r="K16" s="46"/>
      <c r="M16" s="47"/>
      <c r="N16" s="48">
        <f>DATE($K$1,4,15)</f>
        <v>106</v>
      </c>
      <c r="O16" s="49"/>
      <c r="Q16" s="50"/>
      <c r="R16" s="39">
        <f>DATE($K$1,5,15)</f>
        <v>136</v>
      </c>
      <c r="S16" s="51"/>
      <c r="U16" s="52"/>
      <c r="V16" s="42">
        <f>DATE($K$1,6,15)</f>
        <v>167</v>
      </c>
      <c r="W16" s="43"/>
      <c r="Y16" s="44"/>
      <c r="Z16" s="45">
        <f>DATE($K$1,7,15)</f>
        <v>197</v>
      </c>
      <c r="AA16" s="46"/>
      <c r="AC16" s="54"/>
      <c r="AD16" s="55">
        <f>DATE($K$1,8,15)</f>
        <v>228</v>
      </c>
      <c r="AE16" s="55"/>
      <c r="AG16" s="52"/>
      <c r="AH16" s="42">
        <f>DATE($K$1,9,15)</f>
        <v>259</v>
      </c>
      <c r="AI16" s="43"/>
      <c r="AK16" s="44"/>
      <c r="AL16" s="45">
        <f>DATE($K$1,10,15)</f>
        <v>289</v>
      </c>
      <c r="AM16" s="46"/>
      <c r="AO16" s="47"/>
      <c r="AP16" s="48">
        <f>DATE($K$1,11,15)</f>
        <v>320</v>
      </c>
      <c r="AQ16" s="49"/>
      <c r="AS16" s="50"/>
      <c r="AT16" s="39">
        <f>DATE($K$1,12,15)</f>
        <v>350</v>
      </c>
      <c r="AU16" s="40"/>
      <c r="AV16" s="19"/>
      <c r="AW16" s="67"/>
      <c r="AX16" s="68"/>
      <c r="AY16" s="67"/>
      <c r="AZ16" s="68"/>
    </row>
    <row r="17" spans="1:52" ht="15.75" x14ac:dyDescent="0.25">
      <c r="A17" s="38"/>
      <c r="B17" s="39">
        <f>DATE($K$1,1,16)</f>
        <v>16</v>
      </c>
      <c r="C17" s="40"/>
      <c r="E17" s="41"/>
      <c r="F17" s="42">
        <f>DATE($K$1,2,16)</f>
        <v>47</v>
      </c>
      <c r="G17" s="43"/>
      <c r="I17" s="44"/>
      <c r="J17" s="45">
        <f>DATE($K$1,3,16)</f>
        <v>76</v>
      </c>
      <c r="K17" s="46"/>
      <c r="M17" s="47"/>
      <c r="N17" s="48">
        <f>DATE($K$1,4,16)</f>
        <v>107</v>
      </c>
      <c r="O17" s="49"/>
      <c r="Q17" s="50"/>
      <c r="R17" s="39">
        <f>DATE($K$1,5,16)</f>
        <v>137</v>
      </c>
      <c r="S17" s="51"/>
      <c r="U17" s="52"/>
      <c r="V17" s="42">
        <f>DATE($K$1,6,16)</f>
        <v>168</v>
      </c>
      <c r="W17" s="43"/>
      <c r="Y17" s="44"/>
      <c r="Z17" s="45">
        <f>DATE($K$1,7,16)</f>
        <v>198</v>
      </c>
      <c r="AA17" s="46"/>
      <c r="AC17" s="50">
        <f>_xlfn.ISOWEEKNUM(AD17)</f>
        <v>33</v>
      </c>
      <c r="AD17" s="39">
        <f>DATE($K$1,8,16)</f>
        <v>229</v>
      </c>
      <c r="AE17" s="51"/>
      <c r="AG17" s="52"/>
      <c r="AH17" s="42">
        <f>DATE($K$1,9,16)</f>
        <v>260</v>
      </c>
      <c r="AI17" s="43"/>
      <c r="AK17" s="44"/>
      <c r="AL17" s="45">
        <f>DATE($K$1,10,16)</f>
        <v>290</v>
      </c>
      <c r="AM17" s="46"/>
      <c r="AO17" s="47"/>
      <c r="AP17" s="48">
        <f>DATE($K$1,11,16)</f>
        <v>321</v>
      </c>
      <c r="AQ17" s="49"/>
      <c r="AS17" s="50"/>
      <c r="AT17" s="39">
        <f>DATE($K$1,12,16)</f>
        <v>351</v>
      </c>
      <c r="AU17" s="40"/>
      <c r="AV17" s="19"/>
      <c r="AW17" s="65"/>
      <c r="AX17" s="66"/>
      <c r="AY17" s="65"/>
      <c r="AZ17" s="66"/>
    </row>
    <row r="18" spans="1:52" ht="15.75" x14ac:dyDescent="0.25">
      <c r="A18" s="38"/>
      <c r="B18" s="39">
        <f>DATE($K$1,1,17)</f>
        <v>17</v>
      </c>
      <c r="C18" s="40"/>
      <c r="E18" s="41"/>
      <c r="F18" s="42">
        <f>DATE($K$1,2,17)</f>
        <v>48</v>
      </c>
      <c r="G18" s="43"/>
      <c r="I18" s="44"/>
      <c r="J18" s="45">
        <f>DATE($K$1,3,17)</f>
        <v>77</v>
      </c>
      <c r="K18" s="46"/>
      <c r="M18" s="47"/>
      <c r="N18" s="48">
        <f>DATE($K$1,4,17)</f>
        <v>108</v>
      </c>
      <c r="O18" s="49"/>
      <c r="Q18" s="50">
        <f>_xlfn.ISOWEEKNUM(R18)</f>
        <v>20</v>
      </c>
      <c r="R18" s="39">
        <f>DATE($K$1,5,17)</f>
        <v>138</v>
      </c>
      <c r="S18" s="51"/>
      <c r="U18" s="52"/>
      <c r="V18" s="42">
        <f>DATE($K$1,6,17)</f>
        <v>169</v>
      </c>
      <c r="W18" s="43"/>
      <c r="Y18" s="44"/>
      <c r="Z18" s="45">
        <f>DATE($K$1,7,17)</f>
        <v>199</v>
      </c>
      <c r="AA18" s="46"/>
      <c r="AC18" s="50"/>
      <c r="AD18" s="39">
        <f>DATE($K$1,8,17)</f>
        <v>230</v>
      </c>
      <c r="AE18" s="51"/>
      <c r="AG18" s="52"/>
      <c r="AH18" s="42">
        <f>DATE($K$1,9,17)</f>
        <v>261</v>
      </c>
      <c r="AI18" s="43"/>
      <c r="AK18" s="44"/>
      <c r="AL18" s="45">
        <f>DATE($K$1,10,17)</f>
        <v>291</v>
      </c>
      <c r="AM18" s="46"/>
      <c r="AO18" s="47"/>
      <c r="AP18" s="48">
        <f>DATE($K$1,11,17)</f>
        <v>322</v>
      </c>
      <c r="AQ18" s="49"/>
      <c r="AS18" s="50">
        <f>_xlfn.ISOWEEKNUM(AT18)</f>
        <v>51</v>
      </c>
      <c r="AT18" s="39">
        <f>DATE($K$1,12,17)</f>
        <v>352</v>
      </c>
      <c r="AU18" s="40"/>
      <c r="AV18" s="19"/>
      <c r="AW18" s="67"/>
      <c r="AX18" s="68"/>
      <c r="AY18" s="67"/>
      <c r="AZ18" s="68"/>
    </row>
    <row r="19" spans="1:52" ht="15.75" x14ac:dyDescent="0.25">
      <c r="A19" s="38">
        <f>_xlfn.ISOWEEKNUM(B19)</f>
        <v>3</v>
      </c>
      <c r="B19" s="39">
        <f>DATE($K$1,1,18)</f>
        <v>18</v>
      </c>
      <c r="C19" s="40"/>
      <c r="E19" s="41"/>
      <c r="F19" s="42">
        <f>DATE($K$1,2,18)</f>
        <v>49</v>
      </c>
      <c r="G19" s="43"/>
      <c r="I19" s="44"/>
      <c r="J19" s="45">
        <f>DATE($K$1,3,18)</f>
        <v>78</v>
      </c>
      <c r="K19" s="46"/>
      <c r="M19" s="47"/>
      <c r="N19" s="48">
        <f>DATE($K$1,4,18)</f>
        <v>109</v>
      </c>
      <c r="O19" s="49"/>
      <c r="Q19" s="50"/>
      <c r="R19" s="39">
        <f>DATE($K$1,5,18)</f>
        <v>139</v>
      </c>
      <c r="S19" s="51"/>
      <c r="U19" s="52"/>
      <c r="V19" s="42">
        <f>DATE($K$1,6,18)</f>
        <v>170</v>
      </c>
      <c r="W19" s="43"/>
      <c r="Y19" s="44"/>
      <c r="Z19" s="45">
        <f>DATE($K$1,7,18)</f>
        <v>200</v>
      </c>
      <c r="AA19" s="46"/>
      <c r="AC19" s="50"/>
      <c r="AD19" s="39">
        <f>DATE($K$1,8,18)</f>
        <v>231</v>
      </c>
      <c r="AE19" s="51"/>
      <c r="AG19" s="52"/>
      <c r="AH19" s="42">
        <f>DATE($K$1,9,18)</f>
        <v>262</v>
      </c>
      <c r="AI19" s="43"/>
      <c r="AK19" s="44">
        <f>_xlfn.ISOWEEKNUM(AL19)</f>
        <v>42</v>
      </c>
      <c r="AL19" s="45">
        <f>DATE($K$1,10,18)</f>
        <v>292</v>
      </c>
      <c r="AM19" s="46"/>
      <c r="AO19" s="47"/>
      <c r="AP19" s="48">
        <f>DATE($K$1,11,18)</f>
        <v>323</v>
      </c>
      <c r="AQ19" s="49"/>
      <c r="AS19" s="50"/>
      <c r="AT19" s="39">
        <f>DATE($K$1,12,18)</f>
        <v>353</v>
      </c>
      <c r="AU19" s="40"/>
      <c r="AV19" s="19"/>
      <c r="AW19" s="65"/>
      <c r="AX19" s="66"/>
      <c r="AY19" s="65"/>
      <c r="AZ19" s="66"/>
    </row>
    <row r="20" spans="1:52" ht="15.75" x14ac:dyDescent="0.25">
      <c r="A20" s="38"/>
      <c r="B20" s="39">
        <f>DATE($K$1,1,19)</f>
        <v>19</v>
      </c>
      <c r="C20" s="40"/>
      <c r="E20" s="41"/>
      <c r="F20" s="42">
        <f>DATE($K$1,2,19)</f>
        <v>50</v>
      </c>
      <c r="G20" s="43"/>
      <c r="I20" s="44"/>
      <c r="J20" s="45">
        <f>DATE($K$1,3,19)</f>
        <v>79</v>
      </c>
      <c r="K20" s="46"/>
      <c r="M20" s="47">
        <f>_xlfn.ISOWEEKNUM(N20)</f>
        <v>16</v>
      </c>
      <c r="N20" s="48">
        <f>DATE($K$1,4,19)</f>
        <v>110</v>
      </c>
      <c r="O20" s="49"/>
      <c r="Q20" s="50"/>
      <c r="R20" s="39">
        <f>DATE($K$1,5,19)</f>
        <v>140</v>
      </c>
      <c r="S20" s="51"/>
      <c r="U20" s="52"/>
      <c r="V20" s="42">
        <f>DATE($K$1,6,19)</f>
        <v>171</v>
      </c>
      <c r="W20" s="43"/>
      <c r="Y20" s="44">
        <f>_xlfn.ISOWEEKNUM(Z20)</f>
        <v>29</v>
      </c>
      <c r="Z20" s="45">
        <f>DATE($K$1,7,19)</f>
        <v>201</v>
      </c>
      <c r="AA20" s="46"/>
      <c r="AC20" s="50"/>
      <c r="AD20" s="39">
        <f>DATE($K$1,8,19)</f>
        <v>232</v>
      </c>
      <c r="AE20" s="51"/>
      <c r="AG20" s="52"/>
      <c r="AH20" s="42">
        <f>DATE($K$1,9,19)</f>
        <v>263</v>
      </c>
      <c r="AI20" s="43"/>
      <c r="AK20" s="44"/>
      <c r="AL20" s="45">
        <f>DATE($K$1,10,19)</f>
        <v>293</v>
      </c>
      <c r="AM20" s="46"/>
      <c r="AO20" s="47"/>
      <c r="AP20" s="48">
        <f>DATE($K$1,11,19)</f>
        <v>324</v>
      </c>
      <c r="AQ20" s="49"/>
      <c r="AS20" s="50"/>
      <c r="AT20" s="39">
        <f>DATE($K$1,12,19)</f>
        <v>354</v>
      </c>
      <c r="AU20" s="40"/>
      <c r="AV20" s="19"/>
      <c r="AW20" s="67"/>
      <c r="AX20" s="68"/>
      <c r="AY20" s="67"/>
      <c r="AZ20" s="68"/>
    </row>
    <row r="21" spans="1:52" ht="15.75" x14ac:dyDescent="0.25">
      <c r="A21" s="38"/>
      <c r="B21" s="39">
        <f>DATE($K$1,1,20)</f>
        <v>20</v>
      </c>
      <c r="C21" s="40"/>
      <c r="E21" s="41"/>
      <c r="F21" s="42">
        <f>DATE($K$1,2,20)</f>
        <v>51</v>
      </c>
      <c r="G21" s="43"/>
      <c r="I21" s="44"/>
      <c r="J21" s="45">
        <f>DATE($K$1,3,20)</f>
        <v>80</v>
      </c>
      <c r="K21" s="46"/>
      <c r="M21" s="47"/>
      <c r="N21" s="48">
        <f>DATE($K$1,4,20)</f>
        <v>111</v>
      </c>
      <c r="O21" s="49"/>
      <c r="Q21" s="50"/>
      <c r="R21" s="39">
        <f>DATE($K$1,5,20)</f>
        <v>141</v>
      </c>
      <c r="S21" s="51"/>
      <c r="U21" s="52"/>
      <c r="V21" s="42">
        <f>DATE($K$1,6,20)</f>
        <v>172</v>
      </c>
      <c r="W21" s="43"/>
      <c r="Y21" s="44"/>
      <c r="Z21" s="45">
        <f>DATE($K$1,7,20)</f>
        <v>202</v>
      </c>
      <c r="AA21" s="46"/>
      <c r="AC21" s="50"/>
      <c r="AD21" s="39">
        <f>DATE($K$1,8,20)</f>
        <v>233</v>
      </c>
      <c r="AE21" s="51"/>
      <c r="AG21" s="52">
        <f>_xlfn.ISOWEEKNUM(AH21)</f>
        <v>38</v>
      </c>
      <c r="AH21" s="42">
        <f>DATE($K$1,9,20)</f>
        <v>264</v>
      </c>
      <c r="AI21" s="43"/>
      <c r="AK21" s="44"/>
      <c r="AL21" s="45">
        <f>DATE($K$1,10,20)</f>
        <v>294</v>
      </c>
      <c r="AM21" s="46"/>
      <c r="AO21" s="47"/>
      <c r="AP21" s="48">
        <f>DATE($K$1,11,20)</f>
        <v>325</v>
      </c>
      <c r="AQ21" s="49"/>
      <c r="AS21" s="50"/>
      <c r="AT21" s="39">
        <f>DATE($K$1,12,20)</f>
        <v>355</v>
      </c>
      <c r="AU21" s="40"/>
      <c r="AV21" s="19"/>
      <c r="AW21" s="65"/>
      <c r="AX21" s="66"/>
      <c r="AY21" s="65"/>
      <c r="AZ21" s="66"/>
    </row>
    <row r="22" spans="1:52" ht="15.75" x14ac:dyDescent="0.25">
      <c r="A22" s="38"/>
      <c r="B22" s="39">
        <f>DATE($K$1,1,21)</f>
        <v>21</v>
      </c>
      <c r="C22" s="40"/>
      <c r="E22" s="41"/>
      <c r="F22" s="42">
        <f>DATE($K$1,2,21)</f>
        <v>52</v>
      </c>
      <c r="G22" s="43"/>
      <c r="I22" s="44"/>
      <c r="J22" s="45">
        <f>DATE($K$1,3,21)</f>
        <v>81</v>
      </c>
      <c r="K22" s="46"/>
      <c r="M22" s="47"/>
      <c r="N22" s="48">
        <f>DATE($K$1,4,21)</f>
        <v>112</v>
      </c>
      <c r="O22" s="49"/>
      <c r="Q22" s="50"/>
      <c r="R22" s="39">
        <f>DATE($K$1,5,21)</f>
        <v>142</v>
      </c>
      <c r="S22" s="51"/>
      <c r="U22" s="52">
        <f>_xlfn.ISOWEEKNUM(V22)</f>
        <v>25</v>
      </c>
      <c r="V22" s="42">
        <f>DATE($K$1,6,21)</f>
        <v>173</v>
      </c>
      <c r="W22" s="43"/>
      <c r="Y22" s="44"/>
      <c r="Z22" s="45">
        <f>DATE($K$1,7,21)</f>
        <v>203</v>
      </c>
      <c r="AA22" s="46"/>
      <c r="AC22" s="50"/>
      <c r="AD22" s="39">
        <f>DATE($K$1,8,21)</f>
        <v>234</v>
      </c>
      <c r="AE22" s="51"/>
      <c r="AG22" s="52"/>
      <c r="AH22" s="42">
        <f>DATE($K$1,9,21)</f>
        <v>265</v>
      </c>
      <c r="AI22" s="43"/>
      <c r="AK22" s="44"/>
      <c r="AL22" s="45">
        <f>DATE($K$1,10,21)</f>
        <v>295</v>
      </c>
      <c r="AM22" s="46"/>
      <c r="AO22" s="47">
        <f>_xlfn.ISOWEEKNUM(AP22)</f>
        <v>47</v>
      </c>
      <c r="AP22" s="48">
        <f>DATE($K$1,11,21)</f>
        <v>326</v>
      </c>
      <c r="AQ22" s="49"/>
      <c r="AS22" s="50"/>
      <c r="AT22" s="39">
        <f>DATE($K$1,12,21)</f>
        <v>356</v>
      </c>
      <c r="AU22" s="40"/>
      <c r="AV22" s="19"/>
      <c r="AW22" s="67"/>
      <c r="AX22" s="68"/>
      <c r="AY22" s="67"/>
      <c r="AZ22" s="68"/>
    </row>
    <row r="23" spans="1:52" ht="15.75" x14ac:dyDescent="0.25">
      <c r="A23" s="38"/>
      <c r="B23" s="39">
        <f>DATE($K$1,1,22)</f>
        <v>22</v>
      </c>
      <c r="C23" s="40"/>
      <c r="E23" s="41">
        <f>_xlfn.ISOWEEKNUM(F23)</f>
        <v>8</v>
      </c>
      <c r="F23" s="42">
        <f>DATE($K$1,2,22)</f>
        <v>53</v>
      </c>
      <c r="G23" s="43"/>
      <c r="I23" s="44">
        <f>_xlfn.ISOWEEKNUM(J23)</f>
        <v>12</v>
      </c>
      <c r="J23" s="45">
        <f>DATE($K$1,3,22)</f>
        <v>82</v>
      </c>
      <c r="K23" s="46"/>
      <c r="M23" s="47"/>
      <c r="N23" s="48">
        <f>DATE($K$1,4,22)</f>
        <v>113</v>
      </c>
      <c r="O23" s="49"/>
      <c r="Q23" s="50"/>
      <c r="R23" s="39">
        <f>DATE($K$1,5,22)</f>
        <v>143</v>
      </c>
      <c r="S23" s="51"/>
      <c r="U23" s="52"/>
      <c r="V23" s="42">
        <f>DATE($K$1,6,22)</f>
        <v>174</v>
      </c>
      <c r="W23" s="43"/>
      <c r="Y23" s="44"/>
      <c r="Z23" s="45">
        <f>DATE($K$1,7,22)</f>
        <v>204</v>
      </c>
      <c r="AA23" s="46"/>
      <c r="AC23" s="50"/>
      <c r="AD23" s="39">
        <f>DATE($K$1,8,22)</f>
        <v>235</v>
      </c>
      <c r="AE23" s="51"/>
      <c r="AG23" s="52"/>
      <c r="AH23" s="42">
        <f>DATE($K$1,9,22)</f>
        <v>266</v>
      </c>
      <c r="AI23" s="43"/>
      <c r="AK23" s="44"/>
      <c r="AL23" s="45">
        <f>DATE($K$1,10,22)</f>
        <v>296</v>
      </c>
      <c r="AM23" s="46"/>
      <c r="AO23" s="47"/>
      <c r="AP23" s="48">
        <f>DATE($K$1,11,22)</f>
        <v>327</v>
      </c>
      <c r="AQ23" s="49"/>
      <c r="AS23" s="50"/>
      <c r="AT23" s="39">
        <f>DATE($K$1,12,22)</f>
        <v>357</v>
      </c>
      <c r="AU23" s="40"/>
      <c r="AV23" s="19"/>
      <c r="AW23" s="65"/>
      <c r="AX23" s="66"/>
      <c r="AY23" s="65"/>
      <c r="AZ23" s="66"/>
    </row>
    <row r="24" spans="1:52" ht="15.75" x14ac:dyDescent="0.25">
      <c r="A24" s="38"/>
      <c r="B24" s="39">
        <f>DATE($K$1,1,23)</f>
        <v>23</v>
      </c>
      <c r="C24" s="40"/>
      <c r="E24" s="41"/>
      <c r="F24" s="42">
        <f>DATE($K$1,2,23)</f>
        <v>54</v>
      </c>
      <c r="G24" s="43"/>
      <c r="I24" s="44"/>
      <c r="J24" s="45">
        <f>DATE($K$1,3,23)</f>
        <v>83</v>
      </c>
      <c r="K24" s="46"/>
      <c r="M24" s="47"/>
      <c r="N24" s="48">
        <f>DATE($K$1,4,23)</f>
        <v>114</v>
      </c>
      <c r="O24" s="49"/>
      <c r="Q24" s="50"/>
      <c r="R24" s="39">
        <f>DATE($K$1,5,23)</f>
        <v>144</v>
      </c>
      <c r="S24" s="51"/>
      <c r="U24" s="52"/>
      <c r="V24" s="42">
        <f>DATE($K$1,6,23)</f>
        <v>175</v>
      </c>
      <c r="W24" s="43"/>
      <c r="Y24" s="44"/>
      <c r="Z24" s="45">
        <f>DATE($K$1,7,23)</f>
        <v>205</v>
      </c>
      <c r="AA24" s="46"/>
      <c r="AC24" s="50">
        <f>_xlfn.ISOWEEKNUM(AD24)</f>
        <v>34</v>
      </c>
      <c r="AD24" s="39">
        <f>DATE($K$1,8,23)</f>
        <v>236</v>
      </c>
      <c r="AE24" s="51"/>
      <c r="AG24" s="52"/>
      <c r="AH24" s="42">
        <f>DATE($K$1,9,23)</f>
        <v>267</v>
      </c>
      <c r="AI24" s="43"/>
      <c r="AK24" s="44"/>
      <c r="AL24" s="45">
        <f>DATE($K$1,10,23)</f>
        <v>297</v>
      </c>
      <c r="AM24" s="46"/>
      <c r="AO24" s="47"/>
      <c r="AP24" s="48">
        <f>DATE($K$1,11,23)</f>
        <v>328</v>
      </c>
      <c r="AQ24" s="49"/>
      <c r="AS24" s="50"/>
      <c r="AT24" s="39">
        <f>DATE($K$1,12,23)</f>
        <v>358</v>
      </c>
      <c r="AU24" s="40"/>
      <c r="AV24" s="19"/>
      <c r="AW24" s="67"/>
      <c r="AX24" s="68"/>
      <c r="AY24" s="67"/>
      <c r="AZ24" s="68"/>
    </row>
    <row r="25" spans="1:52" ht="15.75" x14ac:dyDescent="0.25">
      <c r="A25" s="38"/>
      <c r="B25" s="39">
        <f>DATE($K$1,1,24)</f>
        <v>24</v>
      </c>
      <c r="C25" s="40"/>
      <c r="E25" s="41"/>
      <c r="F25" s="42">
        <f>DATE($K$1,2,24)</f>
        <v>55</v>
      </c>
      <c r="G25" s="43"/>
      <c r="I25" s="44"/>
      <c r="J25" s="45">
        <f>DATE($K$1,3,24)</f>
        <v>84</v>
      </c>
      <c r="K25" s="46"/>
      <c r="M25" s="47"/>
      <c r="N25" s="48">
        <f>DATE($K$1,4,24)</f>
        <v>115</v>
      </c>
      <c r="O25" s="49"/>
      <c r="Q25" s="50">
        <f>_xlfn.ISOWEEKNUM(R25)</f>
        <v>21</v>
      </c>
      <c r="R25" s="39">
        <f>DATE($K$1,5,24)</f>
        <v>145</v>
      </c>
      <c r="S25" s="51"/>
      <c r="U25" s="52"/>
      <c r="V25" s="42">
        <f>DATE($K$1,6,24)</f>
        <v>176</v>
      </c>
      <c r="W25" s="43"/>
      <c r="Y25" s="44"/>
      <c r="Z25" s="45">
        <f>DATE($K$1,7,24)</f>
        <v>206</v>
      </c>
      <c r="AA25" s="46"/>
      <c r="AC25" s="50"/>
      <c r="AD25" s="39">
        <f>DATE($K$1,8,24)</f>
        <v>237</v>
      </c>
      <c r="AE25" s="51"/>
      <c r="AG25" s="52"/>
      <c r="AH25" s="42">
        <f>DATE($K$1,9,24)</f>
        <v>268</v>
      </c>
      <c r="AI25" s="43"/>
      <c r="AK25" s="44"/>
      <c r="AL25" s="45">
        <f>DATE($K$1,10,24)</f>
        <v>298</v>
      </c>
      <c r="AM25" s="46"/>
      <c r="AO25" s="47"/>
      <c r="AP25" s="48">
        <f>DATE($K$1,11,24)</f>
        <v>329</v>
      </c>
      <c r="AQ25" s="49"/>
      <c r="AS25" s="50">
        <f>_xlfn.ISOWEEKNUM(AT25)</f>
        <v>52</v>
      </c>
      <c r="AT25" s="39">
        <f>DATE($K$1,12,24)</f>
        <v>359</v>
      </c>
      <c r="AU25" s="40"/>
      <c r="AV25" s="19"/>
      <c r="AW25" s="65"/>
      <c r="AX25" s="66"/>
      <c r="AY25" s="65"/>
      <c r="AZ25" s="66"/>
    </row>
    <row r="26" spans="1:52" ht="15.75" x14ac:dyDescent="0.25">
      <c r="A26" s="38">
        <f>_xlfn.ISOWEEKNUM(B26)</f>
        <v>4</v>
      </c>
      <c r="B26" s="39">
        <f>DATE($K$1,1,25)</f>
        <v>25</v>
      </c>
      <c r="C26" s="40"/>
      <c r="E26" s="41"/>
      <c r="F26" s="42">
        <f>DATE($K$1,2,25)</f>
        <v>56</v>
      </c>
      <c r="G26" s="43"/>
      <c r="I26" s="44"/>
      <c r="J26" s="45">
        <f>DATE($K$1,3,25)</f>
        <v>85</v>
      </c>
      <c r="K26" s="46"/>
      <c r="M26" s="47"/>
      <c r="N26" s="48">
        <f>DATE($K$1,4,25)</f>
        <v>116</v>
      </c>
      <c r="O26" s="49"/>
      <c r="Q26" s="50"/>
      <c r="R26" s="39">
        <f>DATE($K$1,5,25)</f>
        <v>146</v>
      </c>
      <c r="S26" s="51"/>
      <c r="U26" s="52"/>
      <c r="V26" s="42">
        <f>DATE($K$1,6,25)</f>
        <v>177</v>
      </c>
      <c r="W26" s="43"/>
      <c r="Y26" s="44"/>
      <c r="Z26" s="45">
        <f>DATE($K$1,7,25)</f>
        <v>207</v>
      </c>
      <c r="AA26" s="46"/>
      <c r="AC26" s="50"/>
      <c r="AD26" s="39">
        <f>DATE($K$1,8,25)</f>
        <v>238</v>
      </c>
      <c r="AE26" s="51"/>
      <c r="AG26" s="52"/>
      <c r="AH26" s="42">
        <f>DATE($K$1,9,25)</f>
        <v>269</v>
      </c>
      <c r="AI26" s="43"/>
      <c r="AK26" s="44">
        <f>_xlfn.ISOWEEKNUM(AL26)</f>
        <v>43</v>
      </c>
      <c r="AL26" s="45">
        <f>DATE($K$1,10,25)</f>
        <v>299</v>
      </c>
      <c r="AM26" s="46"/>
      <c r="AO26" s="47"/>
      <c r="AP26" s="48">
        <f>DATE($K$1,11,25)</f>
        <v>330</v>
      </c>
      <c r="AQ26" s="49"/>
      <c r="AS26" s="54"/>
      <c r="AT26" s="55">
        <f>DATE($K$1,12,25)</f>
        <v>360</v>
      </c>
      <c r="AU26" s="69"/>
      <c r="AV26" s="19"/>
      <c r="AW26" s="67"/>
      <c r="AX26" s="68"/>
      <c r="AY26" s="67"/>
      <c r="AZ26" s="68"/>
    </row>
    <row r="27" spans="1:52" ht="15.75" x14ac:dyDescent="0.25">
      <c r="A27" s="38"/>
      <c r="B27" s="39">
        <f>DATE($K$1,1,26)</f>
        <v>26</v>
      </c>
      <c r="C27" s="40"/>
      <c r="E27" s="41"/>
      <c r="F27" s="42">
        <f>DATE($K$1,2,26)</f>
        <v>57</v>
      </c>
      <c r="G27" s="43"/>
      <c r="I27" s="44"/>
      <c r="J27" s="45">
        <f>DATE($K$1,3,26)</f>
        <v>86</v>
      </c>
      <c r="K27" s="46"/>
      <c r="M27" s="47">
        <f>_xlfn.ISOWEEKNUM(N27)</f>
        <v>17</v>
      </c>
      <c r="N27" s="48">
        <f>DATE($K$1,4,26)</f>
        <v>117</v>
      </c>
      <c r="O27" s="49"/>
      <c r="Q27" s="50"/>
      <c r="R27" s="39">
        <f>DATE($K$1,5,26)</f>
        <v>147</v>
      </c>
      <c r="S27" s="51"/>
      <c r="U27" s="52"/>
      <c r="V27" s="42">
        <f>DATE($K$1,6,26)</f>
        <v>178</v>
      </c>
      <c r="W27" s="43"/>
      <c r="Y27" s="44">
        <f>_xlfn.ISOWEEKNUM(Z27)</f>
        <v>30</v>
      </c>
      <c r="Z27" s="45">
        <f>DATE($K$1,7,26)</f>
        <v>208</v>
      </c>
      <c r="AA27" s="46"/>
      <c r="AC27" s="50"/>
      <c r="AD27" s="39">
        <f>DATE($K$1,8,26)</f>
        <v>239</v>
      </c>
      <c r="AE27" s="51"/>
      <c r="AG27" s="52"/>
      <c r="AH27" s="42">
        <f>DATE($K$1,9,26)</f>
        <v>270</v>
      </c>
      <c r="AI27" s="43"/>
      <c r="AK27" s="44"/>
      <c r="AL27" s="45">
        <f>DATE($K$1,10,26)</f>
        <v>300</v>
      </c>
      <c r="AM27" s="46"/>
      <c r="AO27" s="47"/>
      <c r="AP27" s="48">
        <f>DATE($K$1,11,26)</f>
        <v>331</v>
      </c>
      <c r="AQ27" s="49"/>
      <c r="AS27" s="50"/>
      <c r="AT27" s="39">
        <f>DATE($K$1,12,26)</f>
        <v>361</v>
      </c>
      <c r="AU27" s="40"/>
      <c r="AV27" s="19"/>
      <c r="AW27" s="65"/>
      <c r="AX27" s="66"/>
      <c r="AY27" s="65"/>
      <c r="AZ27" s="66"/>
    </row>
    <row r="28" spans="1:52" ht="15.75" x14ac:dyDescent="0.25">
      <c r="A28" s="38"/>
      <c r="B28" s="39">
        <f>DATE($K$1,1,27)</f>
        <v>27</v>
      </c>
      <c r="C28" s="40"/>
      <c r="E28" s="41"/>
      <c r="F28" s="42">
        <f>DATE($K$1,2,27)</f>
        <v>58</v>
      </c>
      <c r="G28" s="43"/>
      <c r="I28" s="44"/>
      <c r="J28" s="45">
        <f>DATE($K$1,3,27)</f>
        <v>87</v>
      </c>
      <c r="K28" s="46"/>
      <c r="M28" s="47"/>
      <c r="N28" s="48">
        <f>DATE($K$1,4,27)</f>
        <v>118</v>
      </c>
      <c r="O28" s="49"/>
      <c r="Q28" s="50"/>
      <c r="R28" s="39">
        <f>DATE($K$1,5,27)</f>
        <v>148</v>
      </c>
      <c r="S28" s="51"/>
      <c r="U28" s="52"/>
      <c r="V28" s="42">
        <f>DATE($K$1,6,27)</f>
        <v>179</v>
      </c>
      <c r="W28" s="43"/>
      <c r="Y28" s="44"/>
      <c r="Z28" s="45">
        <f>DATE($K$1,7,27)</f>
        <v>209</v>
      </c>
      <c r="AA28" s="46"/>
      <c r="AC28" s="50"/>
      <c r="AD28" s="39">
        <f>DATE($K$1,8,27)</f>
        <v>240</v>
      </c>
      <c r="AE28" s="51"/>
      <c r="AG28" s="52">
        <f>_xlfn.ISOWEEKNUM(AH28)</f>
        <v>39</v>
      </c>
      <c r="AH28" s="42">
        <f>DATE($K$1,9,27)</f>
        <v>271</v>
      </c>
      <c r="AI28" s="43"/>
      <c r="AK28" s="44"/>
      <c r="AL28" s="45">
        <f>DATE($K$1,10,27)</f>
        <v>301</v>
      </c>
      <c r="AM28" s="46"/>
      <c r="AO28" s="47"/>
      <c r="AP28" s="48">
        <f>DATE($K$1,11,27)</f>
        <v>332</v>
      </c>
      <c r="AQ28" s="49"/>
      <c r="AS28" s="50"/>
      <c r="AT28" s="39">
        <f>DATE($K$1,12,27)</f>
        <v>362</v>
      </c>
      <c r="AU28" s="40"/>
      <c r="AV28" s="19"/>
      <c r="AW28" s="65"/>
      <c r="AX28" s="66"/>
      <c r="AY28" s="65"/>
      <c r="AZ28" s="66"/>
    </row>
    <row r="29" spans="1:52" ht="15.75" x14ac:dyDescent="0.25">
      <c r="A29" s="38"/>
      <c r="B29" s="39">
        <f>DATE($K$1,1,28)</f>
        <v>28</v>
      </c>
      <c r="C29" s="40"/>
      <c r="E29" s="41">
        <f>_xlfn.ISOWEEKNUM(F29)</f>
        <v>9</v>
      </c>
      <c r="F29" s="42">
        <f>DATE($K$1,2,28)</f>
        <v>59</v>
      </c>
      <c r="G29" s="43"/>
      <c r="I29" s="44"/>
      <c r="J29" s="45">
        <f>DATE($K$1,3,28)</f>
        <v>88</v>
      </c>
      <c r="K29" s="46"/>
      <c r="M29" s="47"/>
      <c r="N29" s="48">
        <f>DATE($K$1,4,28)</f>
        <v>119</v>
      </c>
      <c r="O29" s="49"/>
      <c r="Q29" s="50"/>
      <c r="R29" s="39">
        <f>DATE($K$1,5,28)</f>
        <v>149</v>
      </c>
      <c r="S29" s="51"/>
      <c r="U29" s="52">
        <f>_xlfn.ISOWEEKNUM(V29)</f>
        <v>26</v>
      </c>
      <c r="V29" s="42">
        <f>DATE($K$1,6,28)</f>
        <v>180</v>
      </c>
      <c r="W29" s="43"/>
      <c r="Y29" s="44"/>
      <c r="Z29" s="45">
        <f>DATE($K$1,7,28)</f>
        <v>210</v>
      </c>
      <c r="AA29" s="46"/>
      <c r="AC29" s="50"/>
      <c r="AD29" s="39">
        <f>DATE($K$1,8,28)</f>
        <v>241</v>
      </c>
      <c r="AE29" s="51"/>
      <c r="AG29" s="52"/>
      <c r="AH29" s="42">
        <f>DATE($K$1,9,28)</f>
        <v>272</v>
      </c>
      <c r="AI29" s="43"/>
      <c r="AK29" s="44"/>
      <c r="AL29" s="45">
        <f>DATE($K$1,10,28)</f>
        <v>302</v>
      </c>
      <c r="AM29" s="46"/>
      <c r="AO29" s="47">
        <f>_xlfn.ISOWEEKNUM(AP29)</f>
        <v>48</v>
      </c>
      <c r="AP29" s="48">
        <f>DATE($K$1,11,28)</f>
        <v>333</v>
      </c>
      <c r="AQ29" s="49"/>
      <c r="AS29" s="50"/>
      <c r="AT29" s="39">
        <f>DATE($K$1,12,28)</f>
        <v>363</v>
      </c>
      <c r="AU29" s="40"/>
      <c r="AV29" s="19"/>
      <c r="AW29" s="67"/>
      <c r="AX29" s="68"/>
      <c r="AY29" s="67"/>
      <c r="AZ29" s="68"/>
    </row>
    <row r="30" spans="1:52" ht="15.75" x14ac:dyDescent="0.25">
      <c r="A30" s="38"/>
      <c r="B30" s="39">
        <f>DATE($K$1,1,29)</f>
        <v>29</v>
      </c>
      <c r="C30" s="40"/>
      <c r="E30" s="41"/>
      <c r="F30" s="42">
        <f>IF(F29="","",IF(MONTH(F29)=MONTH(F29+1),F29+1,""))</f>
        <v>60</v>
      </c>
      <c r="G30" s="43"/>
      <c r="I30" s="44">
        <f>_xlfn.ISOWEEKNUM(J30)</f>
        <v>13</v>
      </c>
      <c r="J30" s="45">
        <f>DATE($K$1,3,29)</f>
        <v>89</v>
      </c>
      <c r="K30" s="46"/>
      <c r="M30" s="47"/>
      <c r="N30" s="48">
        <f>DATE($K$1,4,29)</f>
        <v>120</v>
      </c>
      <c r="O30" s="49"/>
      <c r="Q30" s="50"/>
      <c r="R30" s="39">
        <f>DATE($K$1,5,29)</f>
        <v>150</v>
      </c>
      <c r="S30" s="51"/>
      <c r="U30" s="52"/>
      <c r="V30" s="42">
        <f>DATE($K$1,6,29)</f>
        <v>181</v>
      </c>
      <c r="W30" s="43"/>
      <c r="Y30" s="44"/>
      <c r="Z30" s="45">
        <f>DATE($K$1,7,29)</f>
        <v>211</v>
      </c>
      <c r="AA30" s="46"/>
      <c r="AC30" s="50"/>
      <c r="AD30" s="39">
        <f>DATE($K$1,8,29)</f>
        <v>242</v>
      </c>
      <c r="AE30" s="51"/>
      <c r="AG30" s="52"/>
      <c r="AH30" s="42">
        <f>DATE($K$1,9,29)</f>
        <v>273</v>
      </c>
      <c r="AI30" s="43"/>
      <c r="AK30" s="44"/>
      <c r="AL30" s="45">
        <f>DATE($K$1,10,29)</f>
        <v>303</v>
      </c>
      <c r="AM30" s="46"/>
      <c r="AO30" s="47"/>
      <c r="AP30" s="48">
        <f>DATE($K$1,11,29)</f>
        <v>334</v>
      </c>
      <c r="AQ30" s="49"/>
      <c r="AS30" s="50">
        <f>_xlfn.ISOWEEKNUM(AT30)</f>
        <v>52</v>
      </c>
      <c r="AT30" s="39">
        <f>DATE($K$1,12,29)</f>
        <v>364</v>
      </c>
      <c r="AU30" s="40"/>
      <c r="AV30" s="19"/>
      <c r="AW30" s="65"/>
      <c r="AX30" s="66"/>
      <c r="AY30" s="65"/>
      <c r="AZ30" s="66"/>
    </row>
    <row r="31" spans="1:52" ht="15.75" x14ac:dyDescent="0.25">
      <c r="A31" s="38"/>
      <c r="B31" s="39">
        <f>DATE($K$1,1,30)</f>
        <v>30</v>
      </c>
      <c r="C31" s="40"/>
      <c r="E31" s="70"/>
      <c r="F31" s="71"/>
      <c r="G31" s="71"/>
      <c r="I31" s="44"/>
      <c r="J31" s="45">
        <f>DATE($K$1,3,30)</f>
        <v>90</v>
      </c>
      <c r="K31" s="46"/>
      <c r="M31" s="47"/>
      <c r="N31" s="48">
        <f>DATE($K$1,4,30)</f>
        <v>121</v>
      </c>
      <c r="O31" s="49"/>
      <c r="Q31" s="50"/>
      <c r="R31" s="39">
        <f>DATE($K$1,5,30)</f>
        <v>151</v>
      </c>
      <c r="S31" s="51"/>
      <c r="U31" s="52"/>
      <c r="V31" s="42">
        <f>DATE($K$1,6,30)</f>
        <v>182</v>
      </c>
      <c r="W31" s="43"/>
      <c r="Y31" s="44"/>
      <c r="Z31" s="45">
        <f>DATE($K$1,7,30)</f>
        <v>212</v>
      </c>
      <c r="AA31" s="46"/>
      <c r="AC31" s="50">
        <f>_xlfn.ISOWEEKNUM(AD31)</f>
        <v>35</v>
      </c>
      <c r="AD31" s="39">
        <f>DATE($K$1,8,30)</f>
        <v>243</v>
      </c>
      <c r="AE31" s="51"/>
      <c r="AG31" s="52"/>
      <c r="AH31" s="72">
        <f>DATE($K$1,9,30)</f>
        <v>274</v>
      </c>
      <c r="AI31" s="43"/>
      <c r="AK31" s="44"/>
      <c r="AL31" s="45">
        <f>DATE($K$1,10,30)</f>
        <v>304</v>
      </c>
      <c r="AM31" s="46"/>
      <c r="AO31" s="47"/>
      <c r="AP31" s="48">
        <f>DATE($K$1,11,30)</f>
        <v>335</v>
      </c>
      <c r="AQ31" s="49"/>
      <c r="AS31" s="50"/>
      <c r="AT31" s="39">
        <f>DATE($K$1,12,30)</f>
        <v>365</v>
      </c>
      <c r="AU31" s="40"/>
      <c r="AV31" s="19"/>
      <c r="AW31" s="67"/>
      <c r="AX31" s="68"/>
      <c r="AY31" s="67"/>
      <c r="AZ31" s="68"/>
    </row>
    <row r="32" spans="1:52" ht="15.75" x14ac:dyDescent="0.25">
      <c r="A32" s="38"/>
      <c r="B32" s="39">
        <f>DATE($K$1,1,31)</f>
        <v>31</v>
      </c>
      <c r="C32" s="40"/>
      <c r="E32" s="70"/>
      <c r="F32" s="71"/>
      <c r="G32" s="71"/>
      <c r="I32" s="44"/>
      <c r="J32" s="45">
        <f>DATE($K$1,3,31)</f>
        <v>91</v>
      </c>
      <c r="K32" s="46"/>
      <c r="M32" s="73"/>
      <c r="N32" s="74"/>
      <c r="O32" s="74"/>
      <c r="Q32" s="50">
        <f>_xlfn.ISOWEEKNUM(R32)</f>
        <v>22</v>
      </c>
      <c r="R32" s="39">
        <f>DATE($K$1,5,31)</f>
        <v>152</v>
      </c>
      <c r="S32" s="51"/>
      <c r="U32" s="75"/>
      <c r="V32" s="71"/>
      <c r="W32" s="76"/>
      <c r="Y32" s="44">
        <f>_xlfn.ISOWEEKNUM(Z32)</f>
        <v>31</v>
      </c>
      <c r="Z32" s="45">
        <f>DATE($K$1,7,31)</f>
        <v>213</v>
      </c>
      <c r="AA32" s="46"/>
      <c r="AC32" s="50"/>
      <c r="AD32" s="39">
        <f>DATE($K$1,8,31)</f>
        <v>244</v>
      </c>
      <c r="AE32" s="51"/>
      <c r="AG32" s="76"/>
      <c r="AH32" s="71"/>
      <c r="AI32" s="71"/>
      <c r="AK32" s="44">
        <f>_xlfn.ISOWEEKNUM(AL32)</f>
        <v>44</v>
      </c>
      <c r="AL32" s="45">
        <f>DATE($K$1,10,31)</f>
        <v>305</v>
      </c>
      <c r="AM32" s="46"/>
      <c r="AO32" s="76"/>
      <c r="AP32" s="71"/>
      <c r="AQ32" s="77"/>
      <c r="AS32" s="50"/>
      <c r="AT32" s="39">
        <f>DATE($K$1,12,31)</f>
        <v>366</v>
      </c>
      <c r="AU32" s="40"/>
      <c r="AV32" s="19"/>
      <c r="AW32" s="65"/>
      <c r="AX32" s="66"/>
      <c r="AY32" s="65"/>
      <c r="AZ32" s="66"/>
    </row>
    <row r="37" spans="6:6" x14ac:dyDescent="0.25">
      <c r="F37" t="s">
        <v>13</v>
      </c>
    </row>
    <row r="38" spans="6:6" x14ac:dyDescent="0.25">
      <c r="F38" t="s">
        <v>14</v>
      </c>
    </row>
    <row r="39" spans="6:6" x14ac:dyDescent="0.25">
      <c r="F39" t="s">
        <v>15</v>
      </c>
    </row>
    <row r="40" spans="6:6" x14ac:dyDescent="0.25">
      <c r="F40" t="s">
        <v>16</v>
      </c>
    </row>
    <row r="41" spans="6:6" x14ac:dyDescent="0.25">
      <c r="F41" t="s">
        <v>17</v>
      </c>
    </row>
    <row r="42" spans="6:6" x14ac:dyDescent="0.25">
      <c r="F42" t="s">
        <v>18</v>
      </c>
    </row>
  </sheetData>
  <mergeCells count="55">
    <mergeCell ref="AW30:AX30"/>
    <mergeCell ref="AY30:AZ30"/>
    <mergeCell ref="AW31:AX31"/>
    <mergeCell ref="AY31:AZ31"/>
    <mergeCell ref="AW32:AX32"/>
    <mergeCell ref="AY32:AZ32"/>
    <mergeCell ref="AW27:AX27"/>
    <mergeCell ref="AY27:AZ27"/>
    <mergeCell ref="AW28:AX28"/>
    <mergeCell ref="AY28:AZ28"/>
    <mergeCell ref="AW29:AX29"/>
    <mergeCell ref="AY29:AZ29"/>
    <mergeCell ref="AW24:AX24"/>
    <mergeCell ref="AY24:AZ24"/>
    <mergeCell ref="AW25:AX25"/>
    <mergeCell ref="AY25:AZ25"/>
    <mergeCell ref="AW26:AX26"/>
    <mergeCell ref="AY26:AZ26"/>
    <mergeCell ref="AW21:AX21"/>
    <mergeCell ref="AY21:AZ21"/>
    <mergeCell ref="AW22:AX22"/>
    <mergeCell ref="AY22:AZ22"/>
    <mergeCell ref="AW23:AX23"/>
    <mergeCell ref="AY23:AZ23"/>
    <mergeCell ref="AW18:AX18"/>
    <mergeCell ref="AY18:AZ18"/>
    <mergeCell ref="AW19:AX19"/>
    <mergeCell ref="AY19:AZ19"/>
    <mergeCell ref="AW20:AX20"/>
    <mergeCell ref="AY20:AZ20"/>
    <mergeCell ref="AW15:AX15"/>
    <mergeCell ref="AY15:AZ15"/>
    <mergeCell ref="AW16:AX16"/>
    <mergeCell ref="AY16:AZ16"/>
    <mergeCell ref="AW17:AX17"/>
    <mergeCell ref="AY17:AZ17"/>
    <mergeCell ref="AX1:AZ1"/>
    <mergeCell ref="AW11:AY11"/>
    <mergeCell ref="AW13:AX13"/>
    <mergeCell ref="AY13:AZ13"/>
    <mergeCell ref="AW14:AX14"/>
    <mergeCell ref="AY14:AZ14"/>
    <mergeCell ref="AY12:AZ12"/>
    <mergeCell ref="Y1:AA1"/>
    <mergeCell ref="AC1:AE1"/>
    <mergeCell ref="AG1:AI1"/>
    <mergeCell ref="AK1:AM1"/>
    <mergeCell ref="AO1:AQ1"/>
    <mergeCell ref="AS1:AU1"/>
    <mergeCell ref="A1:C1"/>
    <mergeCell ref="E1:G1"/>
    <mergeCell ref="I1:K1"/>
    <mergeCell ref="M1:O1"/>
    <mergeCell ref="Q1:S1"/>
    <mergeCell ref="U1:W1"/>
  </mergeCells>
  <dataValidations count="2">
    <dataValidation type="list" allowBlank="1" showInputMessage="1" showErrorMessage="1" sqref="D2:D32 G31:G32 L2:L32 O32 T2:T32 P2:P32 AB2:AB32 AF2:AF32 AI32 AN2:AN32 AQ32 X2:X32 H2:H32 AJ2:AJ32 AR2:AR32">
      <formula1>Liste_conge</formula1>
    </dataValidation>
    <dataValidation type="list" allowBlank="1" showInputMessage="1" showErrorMessage="1" sqref="C2:C32 G2:G30 K2:K32 O2:O31 S2:S32 W2:W31 AA2:AA32 AE2:AE32 AI2:AI31 AM2:AM32 AQ2:AQ31 AU2:AU32">
      <formula1>Liste_trouver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Liste_trouver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2020-12-05T05:10:07Z</dcterms:created>
  <dcterms:modified xsi:type="dcterms:W3CDTF">2020-12-05T05:26:45Z</dcterms:modified>
</cp:coreProperties>
</file>