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868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8" i="1" l="1"/>
  <c r="Q20" i="1" s="1"/>
  <c r="Q19" i="1"/>
  <c r="Q21" i="1"/>
  <c r="Q22" i="1"/>
  <c r="Q33" i="1" s="1"/>
  <c r="Q23" i="1"/>
  <c r="Q24" i="1"/>
  <c r="Q25" i="1"/>
  <c r="Q26" i="1"/>
  <c r="Q27" i="1"/>
  <c r="Q28" i="1"/>
  <c r="Q29" i="1"/>
  <c r="Q30" i="1"/>
  <c r="Q31" i="1"/>
  <c r="Q32" i="1"/>
  <c r="Q8" i="1"/>
  <c r="Q9" i="1"/>
  <c r="Q10" i="1"/>
  <c r="Q11" i="1"/>
  <c r="Q12" i="1"/>
  <c r="Q13" i="1"/>
  <c r="Q14" i="1"/>
  <c r="Q15" i="1"/>
  <c r="Q16" i="1"/>
  <c r="Q17" i="1"/>
  <c r="V8" i="1" l="1"/>
  <c r="AI8" i="1"/>
  <c r="V9" i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AI9" i="1"/>
  <c r="AI10" i="1"/>
  <c r="AI11" i="1"/>
  <c r="AI12" i="1"/>
  <c r="AI13" i="1"/>
  <c r="AI20" i="1" s="1"/>
  <c r="AI14" i="1"/>
  <c r="AI15" i="1"/>
  <c r="AI16" i="1"/>
  <c r="AI17" i="1"/>
  <c r="AI18" i="1"/>
  <c r="AI19" i="1"/>
  <c r="V21" i="1"/>
  <c r="AI21" i="1"/>
  <c r="V22" i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AI22" i="1"/>
  <c r="AI23" i="1"/>
  <c r="AI24" i="1"/>
  <c r="AI25" i="1"/>
  <c r="AI26" i="1"/>
  <c r="AI33" i="1" s="1"/>
  <c r="AI27" i="1"/>
  <c r="AI28" i="1"/>
  <c r="AI29" i="1"/>
  <c r="AI30" i="1"/>
  <c r="AI31" i="1"/>
  <c r="AI32" i="1"/>
  <c r="R8" i="1"/>
  <c r="P33" i="1" l="1"/>
  <c r="O33" i="1"/>
  <c r="N33" i="1"/>
  <c r="M33" i="1"/>
  <c r="L33" i="1"/>
  <c r="K33" i="1"/>
  <c r="J33" i="1"/>
  <c r="H33" i="1"/>
  <c r="G33" i="1"/>
  <c r="S32" i="1"/>
  <c r="T32" i="1" s="1"/>
  <c r="R32" i="1"/>
  <c r="I32" i="1"/>
  <c r="S31" i="1"/>
  <c r="R31" i="1"/>
  <c r="T31" i="1" s="1"/>
  <c r="I31" i="1"/>
  <c r="S30" i="1"/>
  <c r="R30" i="1"/>
  <c r="I30" i="1"/>
  <c r="S29" i="1"/>
  <c r="T29" i="1" s="1"/>
  <c r="R29" i="1"/>
  <c r="I29" i="1"/>
  <c r="S28" i="1"/>
  <c r="R28" i="1"/>
  <c r="I28" i="1"/>
  <c r="S27" i="1"/>
  <c r="R27" i="1"/>
  <c r="I27" i="1"/>
  <c r="S26" i="1"/>
  <c r="T26" i="1" s="1"/>
  <c r="R26" i="1"/>
  <c r="I26" i="1"/>
  <c r="S25" i="1"/>
  <c r="R25" i="1"/>
  <c r="I25" i="1"/>
  <c r="S24" i="1"/>
  <c r="T24" i="1" s="1"/>
  <c r="R24" i="1"/>
  <c r="I24" i="1"/>
  <c r="S23" i="1"/>
  <c r="T23" i="1" s="1"/>
  <c r="R23" i="1"/>
  <c r="I23" i="1"/>
  <c r="S22" i="1"/>
  <c r="R22" i="1"/>
  <c r="I22" i="1"/>
  <c r="S21" i="1"/>
  <c r="R21" i="1"/>
  <c r="I21" i="1"/>
  <c r="P20" i="1"/>
  <c r="O20" i="1"/>
  <c r="N20" i="1"/>
  <c r="M20" i="1"/>
  <c r="L20" i="1"/>
  <c r="K20" i="1"/>
  <c r="J20" i="1"/>
  <c r="H20" i="1"/>
  <c r="G20" i="1"/>
  <c r="I20" i="1" s="1"/>
  <c r="S19" i="1"/>
  <c r="R19" i="1"/>
  <c r="I19" i="1"/>
  <c r="S18" i="1"/>
  <c r="R18" i="1"/>
  <c r="I18" i="1"/>
  <c r="S17" i="1"/>
  <c r="R17" i="1"/>
  <c r="I17" i="1"/>
  <c r="S16" i="1"/>
  <c r="R16" i="1"/>
  <c r="I16" i="1"/>
  <c r="S15" i="1"/>
  <c r="R15" i="1"/>
  <c r="I15" i="1"/>
  <c r="S14" i="1"/>
  <c r="R14" i="1"/>
  <c r="I14" i="1"/>
  <c r="S13" i="1"/>
  <c r="R13" i="1"/>
  <c r="T13" i="1" s="1"/>
  <c r="I13" i="1"/>
  <c r="S12" i="1"/>
  <c r="R12" i="1"/>
  <c r="I12" i="1"/>
  <c r="S11" i="1"/>
  <c r="R11" i="1"/>
  <c r="I11" i="1"/>
  <c r="S10" i="1"/>
  <c r="R10" i="1"/>
  <c r="I10" i="1"/>
  <c r="S9" i="1"/>
  <c r="R9" i="1"/>
  <c r="I9" i="1"/>
  <c r="S8" i="1"/>
  <c r="T8" i="1" s="1"/>
  <c r="W8" i="1" s="1"/>
  <c r="X8" i="1" s="1"/>
  <c r="Y8" i="1" s="1"/>
  <c r="I8" i="1"/>
  <c r="U23" i="1" l="1"/>
  <c r="U29" i="1"/>
  <c r="S33" i="1"/>
  <c r="T9" i="1"/>
  <c r="T15" i="1"/>
  <c r="T18" i="1"/>
  <c r="Z8" i="1"/>
  <c r="AA8" i="1"/>
  <c r="T11" i="1"/>
  <c r="T14" i="1"/>
  <c r="T17" i="1"/>
  <c r="T28" i="1"/>
  <c r="I33" i="1"/>
  <c r="T12" i="1"/>
  <c r="T21" i="1"/>
  <c r="T16" i="1"/>
  <c r="T25" i="1"/>
  <c r="T27" i="1"/>
  <c r="R20" i="1"/>
  <c r="T10" i="1"/>
  <c r="T19" i="1"/>
  <c r="R33" i="1"/>
  <c r="T22" i="1"/>
  <c r="U22" i="1" s="1"/>
  <c r="T30" i="1"/>
  <c r="U27" i="1"/>
  <c r="U10" i="1"/>
  <c r="U8" i="1"/>
  <c r="U13" i="1"/>
  <c r="U30" i="1"/>
  <c r="U12" i="1"/>
  <c r="U26" i="1"/>
  <c r="U11" i="1"/>
  <c r="U31" i="1"/>
  <c r="U18" i="1"/>
  <c r="U24" i="1"/>
  <c r="U32" i="1"/>
  <c r="S20" i="1"/>
  <c r="AB22" i="1" l="1"/>
  <c r="AE22" i="1"/>
  <c r="U9" i="1"/>
  <c r="W9" i="1"/>
  <c r="X9" i="1" s="1"/>
  <c r="Y9" i="1" s="1"/>
  <c r="AB32" i="1"/>
  <c r="AE32" i="1"/>
  <c r="T20" i="1"/>
  <c r="U19" i="1"/>
  <c r="U28" i="1"/>
  <c r="AE24" i="1"/>
  <c r="AB24" i="1"/>
  <c r="U16" i="1"/>
  <c r="AE10" i="1"/>
  <c r="AB10" i="1"/>
  <c r="W10" i="1"/>
  <c r="X10" i="1" s="1"/>
  <c r="Y10" i="1" s="1"/>
  <c r="U21" i="1"/>
  <c r="W21" i="1"/>
  <c r="X21" i="1" s="1"/>
  <c r="Y21" i="1" s="1"/>
  <c r="AC8" i="1"/>
  <c r="AE18" i="1"/>
  <c r="AB18" i="1"/>
  <c r="AE12" i="1"/>
  <c r="AB12" i="1"/>
  <c r="AB27" i="1"/>
  <c r="AE27" i="1"/>
  <c r="AB31" i="1"/>
  <c r="AE31" i="1"/>
  <c r="AE30" i="1"/>
  <c r="AB30" i="1"/>
  <c r="U17" i="1"/>
  <c r="AE29" i="1"/>
  <c r="AB29" i="1"/>
  <c r="AB26" i="1"/>
  <c r="AE26" i="1"/>
  <c r="AB8" i="1"/>
  <c r="AE8" i="1"/>
  <c r="AE11" i="1"/>
  <c r="AB11" i="1"/>
  <c r="AB13" i="1"/>
  <c r="AE13" i="1"/>
  <c r="W22" i="1"/>
  <c r="U14" i="1"/>
  <c r="U15" i="1"/>
  <c r="U25" i="1"/>
  <c r="AE23" i="1"/>
  <c r="AB23" i="1"/>
  <c r="T33" i="1"/>
  <c r="X22" i="1" l="1"/>
  <c r="Y22" i="1" s="1"/>
  <c r="W23" i="1"/>
  <c r="AD8" i="1"/>
  <c r="AB21" i="1"/>
  <c r="AE21" i="1"/>
  <c r="AB25" i="1"/>
  <c r="AE25" i="1"/>
  <c r="AE17" i="1"/>
  <c r="AB17" i="1"/>
  <c r="AE28" i="1"/>
  <c r="AB28" i="1"/>
  <c r="AB15" i="1"/>
  <c r="AE15" i="1"/>
  <c r="AA9" i="1"/>
  <c r="Z9" i="1"/>
  <c r="Z10" i="1"/>
  <c r="AA10" i="1"/>
  <c r="AE16" i="1"/>
  <c r="AB16" i="1"/>
  <c r="AE9" i="1"/>
  <c r="AB9" i="1"/>
  <c r="U33" i="1"/>
  <c r="AH32" i="1" s="1"/>
  <c r="U20" i="1"/>
  <c r="AH19" i="1" s="1"/>
  <c r="W11" i="1"/>
  <c r="AB14" i="1"/>
  <c r="AE14" i="1"/>
  <c r="Z21" i="1"/>
  <c r="AA21" i="1"/>
  <c r="AB19" i="1"/>
  <c r="AE19" i="1"/>
  <c r="AE20" i="1" s="1"/>
  <c r="AB33" i="1" l="1"/>
  <c r="AC10" i="1"/>
  <c r="AD10" i="1" s="1"/>
  <c r="AB20" i="1"/>
  <c r="AC9" i="1"/>
  <c r="X11" i="1"/>
  <c r="Y11" i="1" s="1"/>
  <c r="W12" i="1"/>
  <c r="X23" i="1"/>
  <c r="Y23" i="1" s="1"/>
  <c r="W24" i="1"/>
  <c r="AC21" i="1"/>
  <c r="Z22" i="1"/>
  <c r="AA22" i="1"/>
  <c r="AE33" i="1"/>
  <c r="X12" i="1" l="1"/>
  <c r="Y12" i="1" s="1"/>
  <c r="W13" i="1"/>
  <c r="Z11" i="1"/>
  <c r="AA11" i="1"/>
  <c r="X24" i="1"/>
  <c r="Y24" i="1" s="1"/>
  <c r="W25" i="1"/>
  <c r="AD21" i="1"/>
  <c r="Z23" i="1"/>
  <c r="AA23" i="1"/>
  <c r="AC22" i="1"/>
  <c r="AD22" i="1" s="1"/>
  <c r="AD9" i="1"/>
  <c r="X13" i="1" l="1"/>
  <c r="Y13" i="1" s="1"/>
  <c r="W14" i="1"/>
  <c r="Z12" i="1"/>
  <c r="AA12" i="1"/>
  <c r="AC11" i="1"/>
  <c r="X25" i="1"/>
  <c r="Y25" i="1" s="1"/>
  <c r="W26" i="1"/>
  <c r="Z24" i="1"/>
  <c r="AA24" i="1"/>
  <c r="AC23" i="1"/>
  <c r="AD23" i="1" s="1"/>
  <c r="AC24" i="1" l="1"/>
  <c r="AD24" i="1" s="1"/>
  <c r="X26" i="1"/>
  <c r="Y26" i="1" s="1"/>
  <c r="W27" i="1"/>
  <c r="AC12" i="1"/>
  <c r="AD12" i="1" s="1"/>
  <c r="Z25" i="1"/>
  <c r="AA25" i="1"/>
  <c r="X14" i="1"/>
  <c r="Y14" i="1" s="1"/>
  <c r="W15" i="1"/>
  <c r="AA13" i="1"/>
  <c r="Z13" i="1"/>
  <c r="AD11" i="1"/>
  <c r="AC13" i="1" l="1"/>
  <c r="AD13" i="1" s="1"/>
  <c r="X15" i="1"/>
  <c r="Y15" i="1" s="1"/>
  <c r="W16" i="1"/>
  <c r="AA14" i="1"/>
  <c r="Z14" i="1"/>
  <c r="AC14" i="1" s="1"/>
  <c r="AD14" i="1" s="1"/>
  <c r="X27" i="1"/>
  <c r="Y27" i="1" s="1"/>
  <c r="W28" i="1"/>
  <c r="AA26" i="1"/>
  <c r="Z26" i="1"/>
  <c r="AC25" i="1"/>
  <c r="X16" i="1" l="1"/>
  <c r="Y16" i="1" s="1"/>
  <c r="W17" i="1"/>
  <c r="AC26" i="1"/>
  <c r="AD26" i="1" s="1"/>
  <c r="AA15" i="1"/>
  <c r="Z15" i="1"/>
  <c r="X28" i="1"/>
  <c r="Y28" i="1" s="1"/>
  <c r="W29" i="1"/>
  <c r="AD25" i="1"/>
  <c r="AA27" i="1"/>
  <c r="Z27" i="1"/>
  <c r="AC15" i="1" l="1"/>
  <c r="AD15" i="1" s="1"/>
  <c r="X29" i="1"/>
  <c r="Y29" i="1" s="1"/>
  <c r="W30" i="1"/>
  <c r="X17" i="1"/>
  <c r="Y17" i="1" s="1"/>
  <c r="W18" i="1"/>
  <c r="AC27" i="1"/>
  <c r="AD27" i="1" s="1"/>
  <c r="Z28" i="1"/>
  <c r="AA28" i="1"/>
  <c r="Z16" i="1"/>
  <c r="AA16" i="1"/>
  <c r="AC16" i="1" l="1"/>
  <c r="AD16" i="1" s="1"/>
  <c r="Z17" i="1"/>
  <c r="AA17" i="1"/>
  <c r="X30" i="1"/>
  <c r="Y30" i="1" s="1"/>
  <c r="W31" i="1"/>
  <c r="Z29" i="1"/>
  <c r="AA29" i="1"/>
  <c r="X18" i="1"/>
  <c r="Y18" i="1" s="1"/>
  <c r="W19" i="1"/>
  <c r="X19" i="1" s="1"/>
  <c r="Y19" i="1" s="1"/>
  <c r="AC28" i="1"/>
  <c r="AD28" i="1" s="1"/>
  <c r="X31" i="1" l="1"/>
  <c r="Y31" i="1" s="1"/>
  <c r="W32" i="1"/>
  <c r="X32" i="1" s="1"/>
  <c r="Y32" i="1" s="1"/>
  <c r="Z30" i="1"/>
  <c r="AA30" i="1"/>
  <c r="AA19" i="1"/>
  <c r="Z19" i="1"/>
  <c r="AC29" i="1"/>
  <c r="AD29" i="1" s="1"/>
  <c r="Z18" i="1"/>
  <c r="AA18" i="1"/>
  <c r="AC17" i="1"/>
  <c r="AD17" i="1" s="1"/>
  <c r="AC30" i="1" l="1"/>
  <c r="AD30" i="1" s="1"/>
  <c r="AA20" i="1"/>
  <c r="AC19" i="1"/>
  <c r="Z20" i="1"/>
  <c r="AJ19" i="1" s="1"/>
  <c r="AJ20" i="1" s="1"/>
  <c r="AA32" i="1"/>
  <c r="Z32" i="1"/>
  <c r="AC18" i="1"/>
  <c r="AD18" i="1" s="1"/>
  <c r="Z31" i="1"/>
  <c r="AC31" i="1" s="1"/>
  <c r="AD31" i="1" s="1"/>
  <c r="AA31" i="1"/>
  <c r="AA33" i="1" l="1"/>
  <c r="AC32" i="1"/>
  <c r="Z33" i="1"/>
  <c r="AJ32" i="1" s="1"/>
  <c r="AJ33" i="1" s="1"/>
  <c r="AD19" i="1"/>
  <c r="AD20" i="1" s="1"/>
  <c r="AF20" i="1" s="1"/>
  <c r="AG20" i="1" s="1"/>
  <c r="AC20" i="1"/>
  <c r="AD32" i="1" l="1"/>
  <c r="AD33" i="1" s="1"/>
  <c r="AF33" i="1" s="1"/>
  <c r="AG33" i="1" s="1"/>
  <c r="AC33" i="1"/>
</calcChain>
</file>

<file path=xl/sharedStrings.xml><?xml version="1.0" encoding="utf-8"?>
<sst xmlns="http://schemas.openxmlformats.org/spreadsheetml/2006/main" count="129" uniqueCount="62">
  <si>
    <t>DFS 20% du 01/01/2020 au 31/12/2020</t>
  </si>
  <si>
    <t>constantes</t>
  </si>
  <si>
    <t>4 conditions retenues (les 2 premières sont fixes)</t>
  </si>
  <si>
    <t>VERIFIER LOGICIEL PAIE POUR FILLON</t>
  </si>
  <si>
    <t>VERIFIER LOGICIEL PAIE POUR SMIC</t>
  </si>
  <si>
    <t>SMIC HORAIRE  =</t>
  </si>
  <si>
    <t>1) frais &lt; 25% salaire brut</t>
  </si>
  <si>
    <t>coeff Fillon =</t>
  </si>
  <si>
    <t>2) Kilométrage moyen minimum par jour et par conducteur : 150 Kms</t>
  </si>
  <si>
    <t>plafond DFS/pers/an = 7 600 €</t>
  </si>
  <si>
    <t>3) économie entreprise &gt; 500 € (choix arbitraire)</t>
  </si>
  <si>
    <t>SANS DFS</t>
  </si>
  <si>
    <t>AVEC DFS</t>
  </si>
  <si>
    <t>plafond Fillon/pers/an = 130% de Fillon sans DFS</t>
  </si>
  <si>
    <t>4) Gain pour le salarié &gt; 100 € (choix arbitraire)</t>
  </si>
  <si>
    <t>ASSIETTES</t>
  </si>
  <si>
    <t>FILLON ANNUALISATION PROGRESSIVE 2020</t>
  </si>
  <si>
    <t>ETUDE DE MISE EN ŒUVRE ET D'IMPACT FINANCIER DE LA DFS</t>
  </si>
  <si>
    <t>DFS mise en œuvre en fin d'année</t>
  </si>
  <si>
    <t>Période</t>
  </si>
  <si>
    <t>Matricule</t>
  </si>
  <si>
    <t xml:space="preserve">Nom </t>
  </si>
  <si>
    <t>Prenom</t>
  </si>
  <si>
    <t>Emploi</t>
  </si>
  <si>
    <t>qualif</t>
  </si>
  <si>
    <t>TOTAL KMS PARCOURUS</t>
  </si>
  <si>
    <t>NB JOURS ROULES</t>
  </si>
  <si>
    <t>Moyenne kms parcourus</t>
  </si>
  <si>
    <t>total heures payées</t>
  </si>
  <si>
    <t>heures de base</t>
  </si>
  <si>
    <t>heures équival</t>
  </si>
  <si>
    <t>heures Sup</t>
  </si>
  <si>
    <t>salaire brut</t>
  </si>
  <si>
    <t>total frais</t>
  </si>
  <si>
    <t>réduction fillon sur bull sal SANS DFS</t>
  </si>
  <si>
    <t>plafond 130% de Fillon sans DFS</t>
  </si>
  <si>
    <t>ASSIETTE MINI SS</t>
  </si>
  <si>
    <t>DFS</t>
  </si>
  <si>
    <t>BRUT ABATTU (&gt;Mini SS)</t>
  </si>
  <si>
    <t>BAISSE DE L'ASSIETTE (à régulariser)</t>
  </si>
  <si>
    <t>CUMUL SMIC numérateur coeff. Fillon</t>
  </si>
  <si>
    <t>CUMUL REMUNERATION dénominateur coeff. Fillon</t>
  </si>
  <si>
    <t xml:space="preserve">Coefficient Réduction Fillon </t>
  </si>
  <si>
    <t xml:space="preserve">Cumul Réduction Fillon Annualisée </t>
  </si>
  <si>
    <t xml:space="preserve">CTP 668 Reduction Fillon retenue chaque mois </t>
  </si>
  <si>
    <t xml:space="preserve">CTP 669 Régularisation Reduction Fillon  </t>
  </si>
  <si>
    <t>ECONOMIE SUR CHARGES PATRONALES = BAISSE ASSIETTE * 50%</t>
  </si>
  <si>
    <t>GAIN sur réduction Fillon (négatif = favorable)</t>
  </si>
  <si>
    <t>ECONOMIE TOTALE</t>
  </si>
  <si>
    <t>GAIN POUR LE SALARIE   = BAISSE ASSIETTE * 16,445%</t>
  </si>
  <si>
    <t>APPLIQUER DFS OU NON</t>
  </si>
  <si>
    <t>ECONOMIE TOTALE APRES APPLICATION</t>
  </si>
  <si>
    <t xml:space="preserve">sal brut dernier mois - baisse assiette depuis le début de l'exercice </t>
  </si>
  <si>
    <t>réduction Fillon sur bulletins de paie définitifs</t>
  </si>
  <si>
    <t>régularisation Fillon sur DSN URSSAF</t>
  </si>
  <si>
    <t>Y</t>
  </si>
  <si>
    <t>COND.PL</t>
  </si>
  <si>
    <t>GR7</t>
  </si>
  <si>
    <t>Total Y</t>
  </si>
  <si>
    <t>Z</t>
  </si>
  <si>
    <t>GR6</t>
  </si>
  <si>
    <t>Total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</si>
</sst>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.0000"/>
    <numFmt numFmtId="165" formatCode="_-* #,##0\ &quot;€&quot;_-;\-* #,##0\ &quot;€&quot;_-;_-* &quot;-&quot;??\ &quot;€&quot;_-;_-@_-"/>
    <numFmt numFmtId="166" formatCode="_-* #,##0\ _F_-;\-* #,##0\ _F_-;_-* &quot;-&quot;\ _F_-;_-@_-"/>
    <numFmt numFmtId="167" formatCode="#,##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0" tint="-4.9989318521683403E-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1">
    <xf numFmtId="0" fontId="0" fillId="0" borderId="0" xfId="0"/>
    <xf numFmtId="0" fontId="4" fillId="0" borderId="1" xfId="0" applyFont="1" applyBorder="1"/>
    <xf numFmtId="0" fontId="5" fillId="0" borderId="2" xfId="0" quotePrefix="1" applyFont="1" applyBorder="1" applyAlignment="1">
      <alignment horizontal="right"/>
    </xf>
    <xf numFmtId="0" fontId="5" fillId="0" borderId="3" xfId="0" applyFont="1" applyBorder="1"/>
    <xf numFmtId="0" fontId="5" fillId="0" borderId="0" xfId="0" applyFont="1"/>
    <xf numFmtId="0" fontId="4" fillId="0" borderId="4" xfId="0" applyFont="1" applyBorder="1" applyAlignment="1">
      <alignment horizontal="centerContinuous"/>
    </xf>
    <xf numFmtId="0" fontId="5" fillId="0" borderId="5" xfId="0" quotePrefix="1" applyFont="1" applyBorder="1" applyAlignment="1">
      <alignment horizontal="centerContinuous"/>
    </xf>
    <xf numFmtId="0" fontId="5" fillId="0" borderId="5" xfId="0" applyFont="1" applyBorder="1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5" fillId="2" borderId="0" xfId="0" applyFont="1" applyFill="1"/>
    <xf numFmtId="0" fontId="5" fillId="0" borderId="7" xfId="0" applyFont="1" applyBorder="1"/>
    <xf numFmtId="2" fontId="5" fillId="0" borderId="0" xfId="0" applyNumberFormat="1" applyFont="1" applyAlignment="1">
      <alignment horizontal="left"/>
    </xf>
    <xf numFmtId="0" fontId="5" fillId="0" borderId="8" xfId="0" applyFont="1" applyBorder="1"/>
    <xf numFmtId="164" fontId="5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65" fontId="5" fillId="0" borderId="8" xfId="1" applyNumberFormat="1" applyFont="1" applyBorder="1"/>
    <xf numFmtId="0" fontId="5" fillId="0" borderId="8" xfId="0" applyFont="1" applyBorder="1" applyAlignment="1">
      <alignment horizontal="right"/>
    </xf>
    <xf numFmtId="0" fontId="6" fillId="3" borderId="4" xfId="0" applyFont="1" applyFill="1" applyBorder="1" applyAlignment="1">
      <alignment horizontal="centerContinuous"/>
    </xf>
    <xf numFmtId="0" fontId="5" fillId="3" borderId="5" xfId="0" applyFont="1" applyFill="1" applyBorder="1" applyAlignment="1">
      <alignment horizontal="centerContinuous"/>
    </xf>
    <xf numFmtId="0" fontId="5" fillId="3" borderId="6" xfId="0" applyFont="1" applyFill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5" fillId="4" borderId="5" xfId="0" applyFont="1" applyFill="1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0" xfId="0" applyFont="1" applyBorder="1" applyAlignment="1">
      <alignment horizontal="right"/>
    </xf>
    <xf numFmtId="9" fontId="5" fillId="0" borderId="10" xfId="0" applyNumberFormat="1" applyFont="1" applyBorder="1"/>
    <xf numFmtId="0" fontId="5" fillId="3" borderId="12" xfId="0" applyFont="1" applyFill="1" applyBorder="1"/>
    <xf numFmtId="0" fontId="5" fillId="3" borderId="13" xfId="0" applyFont="1" applyFill="1" applyBorder="1"/>
    <xf numFmtId="0" fontId="5" fillId="3" borderId="14" xfId="0" applyFont="1" applyFill="1" applyBorder="1"/>
    <xf numFmtId="0" fontId="7" fillId="5" borderId="15" xfId="0" applyFont="1" applyFill="1" applyBorder="1" applyAlignment="1">
      <alignment horizontal="centerContinuous"/>
    </xf>
    <xf numFmtId="166" fontId="7" fillId="5" borderId="5" xfId="0" applyNumberFormat="1" applyFont="1" applyFill="1" applyBorder="1" applyAlignment="1">
      <alignment horizontal="centerContinuous"/>
    </xf>
    <xf numFmtId="166" fontId="7" fillId="5" borderId="6" xfId="0" applyNumberFormat="1" applyFont="1" applyFill="1" applyBorder="1" applyAlignment="1">
      <alignment horizontal="centerContinuous"/>
    </xf>
    <xf numFmtId="166" fontId="7" fillId="6" borderId="4" xfId="0" applyNumberFormat="1" applyFont="1" applyFill="1" applyBorder="1" applyAlignment="1">
      <alignment horizontal="centerContinuous"/>
    </xf>
    <xf numFmtId="166" fontId="7" fillId="6" borderId="5" xfId="0" applyNumberFormat="1" applyFont="1" applyFill="1" applyBorder="1" applyAlignment="1">
      <alignment horizontal="centerContinuous"/>
    </xf>
    <xf numFmtId="0" fontId="8" fillId="6" borderId="5" xfId="0" applyFont="1" applyFill="1" applyBorder="1" applyAlignment="1">
      <alignment horizontal="centerContinuous"/>
    </xf>
    <xf numFmtId="0" fontId="8" fillId="6" borderId="6" xfId="0" applyFont="1" applyFill="1" applyBorder="1" applyAlignment="1">
      <alignment horizontal="centerContinuous"/>
    </xf>
    <xf numFmtId="0" fontId="6" fillId="7" borderId="4" xfId="0" applyFont="1" applyFill="1" applyBorder="1" applyAlignment="1">
      <alignment horizontal="centerContinuous"/>
    </xf>
    <xf numFmtId="0" fontId="5" fillId="7" borderId="5" xfId="0" applyFont="1" applyFill="1" applyBorder="1" applyAlignment="1">
      <alignment horizontal="centerContinuous"/>
    </xf>
    <xf numFmtId="0" fontId="5" fillId="7" borderId="6" xfId="0" applyFont="1" applyFill="1" applyBorder="1" applyAlignment="1">
      <alignment horizontal="centerContinuous"/>
    </xf>
    <xf numFmtId="0" fontId="9" fillId="8" borderId="4" xfId="0" applyFont="1" applyFill="1" applyBorder="1" applyAlignment="1">
      <alignment horizontal="centerContinuous"/>
    </xf>
    <xf numFmtId="0" fontId="10" fillId="8" borderId="5" xfId="0" applyFont="1" applyFill="1" applyBorder="1" applyAlignment="1">
      <alignment horizontal="centerContinuous"/>
    </xf>
    <xf numFmtId="0" fontId="2" fillId="8" borderId="6" xfId="0" applyFont="1" applyFill="1" applyBorder="1" applyAlignment="1">
      <alignment horizontal="centerContinuous"/>
    </xf>
    <xf numFmtId="0" fontId="6" fillId="3" borderId="14" xfId="0" quotePrefix="1" applyFont="1" applyFill="1" applyBorder="1" applyAlignment="1">
      <alignment horizontal="center" vertical="center" wrapText="1"/>
    </xf>
    <xf numFmtId="3" fontId="8" fillId="5" borderId="20" xfId="0" applyNumberFormat="1" applyFont="1" applyFill="1" applyBorder="1" applyAlignment="1">
      <alignment horizontal="center" vertical="center" wrapText="1"/>
    </xf>
    <xf numFmtId="3" fontId="8" fillId="5" borderId="21" xfId="0" applyNumberFormat="1" applyFont="1" applyFill="1" applyBorder="1" applyAlignment="1">
      <alignment horizontal="center" vertical="center" wrapText="1"/>
    </xf>
    <xf numFmtId="3" fontId="8" fillId="5" borderId="22" xfId="0" applyNumberFormat="1" applyFont="1" applyFill="1" applyBorder="1" applyAlignment="1">
      <alignment horizontal="center" vertical="center" wrapText="1"/>
    </xf>
    <xf numFmtId="3" fontId="8" fillId="6" borderId="23" xfId="0" applyNumberFormat="1" applyFont="1" applyFill="1" applyBorder="1" applyAlignment="1">
      <alignment horizontal="center" vertical="center" wrapText="1"/>
    </xf>
    <xf numFmtId="3" fontId="8" fillId="6" borderId="17" xfId="0" applyNumberFormat="1" applyFont="1" applyFill="1" applyBorder="1" applyAlignment="1">
      <alignment horizontal="center" vertical="center" wrapText="1"/>
    </xf>
    <xf numFmtId="3" fontId="8" fillId="6" borderId="24" xfId="0" applyNumberFormat="1" applyFont="1" applyFill="1" applyBorder="1" applyAlignment="1">
      <alignment horizontal="center" vertical="center" wrapText="1"/>
    </xf>
    <xf numFmtId="3" fontId="8" fillId="7" borderId="20" xfId="0" applyNumberFormat="1" applyFont="1" applyFill="1" applyBorder="1" applyAlignment="1">
      <alignment horizontal="center" vertical="center" wrapText="1"/>
    </xf>
    <xf numFmtId="3" fontId="8" fillId="7" borderId="21" xfId="0" applyNumberFormat="1" applyFont="1" applyFill="1" applyBorder="1" applyAlignment="1">
      <alignment horizontal="center" vertical="center" wrapText="1"/>
    </xf>
    <xf numFmtId="3" fontId="8" fillId="7" borderId="22" xfId="0" applyNumberFormat="1" applyFont="1" applyFill="1" applyBorder="1" applyAlignment="1">
      <alignment horizontal="center" vertical="center" wrapText="1"/>
    </xf>
    <xf numFmtId="3" fontId="8" fillId="8" borderId="20" xfId="0" applyNumberFormat="1" applyFont="1" applyFill="1" applyBorder="1" applyAlignment="1">
      <alignment horizontal="center" vertical="center" wrapText="1"/>
    </xf>
    <xf numFmtId="3" fontId="8" fillId="8" borderId="21" xfId="0" applyNumberFormat="1" applyFont="1" applyFill="1" applyBorder="1" applyAlignment="1">
      <alignment horizontal="center" vertical="center" wrapText="1"/>
    </xf>
    <xf numFmtId="3" fontId="8" fillId="8" borderId="22" xfId="0" applyNumberFormat="1" applyFont="1" applyFill="1" applyBorder="1" applyAlignment="1">
      <alignment horizontal="center" vertical="center" wrapText="1"/>
    </xf>
    <xf numFmtId="4" fontId="8" fillId="4" borderId="20" xfId="0" applyNumberFormat="1" applyFont="1" applyFill="1" applyBorder="1"/>
    <xf numFmtId="4" fontId="8" fillId="4" borderId="17" xfId="0" applyNumberFormat="1" applyFont="1" applyFill="1" applyBorder="1"/>
    <xf numFmtId="4" fontId="8" fillId="4" borderId="24" xfId="0" applyNumberFormat="1" applyFont="1" applyFill="1" applyBorder="1"/>
    <xf numFmtId="167" fontId="8" fillId="4" borderId="17" xfId="0" applyNumberFormat="1" applyFont="1" applyFill="1" applyBorder="1"/>
    <xf numFmtId="4" fontId="8" fillId="4" borderId="18" xfId="0" applyNumberFormat="1" applyFont="1" applyFill="1" applyBorder="1"/>
    <xf numFmtId="0" fontId="5" fillId="0" borderId="18" xfId="0" applyFont="1" applyBorder="1"/>
    <xf numFmtId="0" fontId="5" fillId="0" borderId="24" xfId="0" applyFont="1" applyBorder="1"/>
    <xf numFmtId="0" fontId="3" fillId="8" borderId="20" xfId="0" quotePrefix="1" applyFont="1" applyFill="1" applyBorder="1" applyAlignment="1">
      <alignment wrapText="1"/>
    </xf>
    <xf numFmtId="2" fontId="0" fillId="8" borderId="17" xfId="0" applyNumberFormat="1" applyFill="1" applyBorder="1"/>
    <xf numFmtId="4" fontId="3" fillId="8" borderId="24" xfId="0" applyNumberFormat="1" applyFont="1" applyFill="1" applyBorder="1"/>
    <xf numFmtId="0" fontId="5" fillId="0" borderId="25" xfId="0" applyFont="1" applyBorder="1"/>
    <xf numFmtId="0" fontId="3" fillId="8" borderId="26" xfId="0" quotePrefix="1" applyFont="1" applyFill="1" applyBorder="1" applyAlignment="1">
      <alignment wrapText="1"/>
    </xf>
    <xf numFmtId="4" fontId="3" fillId="8" borderId="25" xfId="0" applyNumberFormat="1" applyFont="1" applyFill="1" applyBorder="1"/>
    <xf numFmtId="2" fontId="3" fillId="8" borderId="20" xfId="0" quotePrefix="1" applyNumberFormat="1" applyFont="1" applyFill="1" applyBorder="1" applyAlignment="1">
      <alignment wrapText="1"/>
    </xf>
    <xf numFmtId="0" fontId="5" fillId="0" borderId="27" xfId="0" applyFont="1" applyBorder="1"/>
    <xf numFmtId="0" fontId="3" fillId="8" borderId="19" xfId="0" quotePrefix="1" applyFont="1" applyFill="1" applyBorder="1" applyAlignment="1">
      <alignment wrapText="1"/>
    </xf>
    <xf numFmtId="4" fontId="3" fillId="8" borderId="27" xfId="0" applyNumberFormat="1" applyFont="1" applyFill="1" applyBorder="1"/>
    <xf numFmtId="2" fontId="0" fillId="8" borderId="20" xfId="0" quotePrefix="1" applyNumberFormat="1" applyFill="1" applyBorder="1" applyAlignment="1">
      <alignment wrapText="1"/>
    </xf>
    <xf numFmtId="4" fontId="0" fillId="8" borderId="24" xfId="0" applyNumberFormat="1" applyFill="1" applyBorder="1"/>
    <xf numFmtId="4" fontId="8" fillId="7" borderId="20" xfId="0" applyNumberFormat="1" applyFont="1" applyFill="1" applyBorder="1"/>
    <xf numFmtId="4" fontId="8" fillId="7" borderId="17" xfId="0" applyNumberFormat="1" applyFont="1" applyFill="1" applyBorder="1"/>
    <xf numFmtId="0" fontId="5" fillId="7" borderId="18" xfId="0" applyFont="1" applyFill="1" applyBorder="1" applyAlignment="1">
      <alignment horizontal="center"/>
    </xf>
    <xf numFmtId="4" fontId="8" fillId="7" borderId="24" xfId="0" applyNumberFormat="1" applyFont="1" applyFill="1" applyBorder="1"/>
    <xf numFmtId="0" fontId="0" fillId="8" borderId="20" xfId="0" quotePrefix="1" applyFill="1" applyBorder="1" applyAlignment="1">
      <alignment wrapText="1"/>
    </xf>
    <xf numFmtId="0" fontId="0" fillId="8" borderId="26" xfId="0" quotePrefix="1" applyFill="1" applyBorder="1" applyAlignment="1">
      <alignment wrapText="1"/>
    </xf>
    <xf numFmtId="4" fontId="0" fillId="8" borderId="25" xfId="0" applyNumberFormat="1" applyFill="1" applyBorder="1"/>
    <xf numFmtId="0" fontId="0" fillId="8" borderId="19" xfId="0" quotePrefix="1" applyFill="1" applyBorder="1" applyAlignment="1">
      <alignment wrapText="1"/>
    </xf>
    <xf numFmtId="4" fontId="0" fillId="8" borderId="27" xfId="0" applyNumberFormat="1" applyFill="1" applyBorder="1"/>
    <xf numFmtId="4" fontId="8" fillId="4" borderId="28" xfId="0" applyNumberFormat="1" applyFont="1" applyFill="1" applyBorder="1"/>
    <xf numFmtId="4" fontId="8" fillId="4" borderId="29" xfId="0" applyNumberFormat="1" applyFont="1" applyFill="1" applyBorder="1"/>
    <xf numFmtId="167" fontId="8" fillId="4" borderId="29" xfId="0" applyNumberFormat="1" applyFont="1" applyFill="1" applyBorder="1"/>
    <xf numFmtId="4" fontId="8" fillId="4" borderId="30" xfId="0" applyNumberFormat="1" applyFont="1" applyFill="1" applyBorder="1"/>
    <xf numFmtId="4" fontId="8" fillId="7" borderId="28" xfId="0" applyNumberFormat="1" applyFont="1" applyFill="1" applyBorder="1"/>
    <xf numFmtId="4" fontId="8" fillId="7" borderId="29" xfId="0" applyNumberFormat="1" applyFont="1" applyFill="1" applyBorder="1"/>
    <xf numFmtId="0" fontId="5" fillId="7" borderId="31" xfId="0" applyFont="1" applyFill="1" applyBorder="1" applyAlignment="1">
      <alignment horizontal="center"/>
    </xf>
    <xf numFmtId="4" fontId="8" fillId="7" borderId="30" xfId="0" applyNumberFormat="1" applyFont="1" applyFill="1" applyBorder="1"/>
    <xf numFmtId="0" fontId="0" fillId="8" borderId="28" xfId="0" quotePrefix="1" applyFill="1" applyBorder="1" applyAlignment="1">
      <alignment wrapText="1"/>
    </xf>
    <xf numFmtId="2" fontId="0" fillId="8" borderId="29" xfId="0" applyNumberFormat="1" applyFill="1" applyBorder="1"/>
    <xf numFmtId="4" fontId="0" fillId="8" borderId="30" xfId="0" applyNumberFormat="1" applyFill="1" applyBorder="1"/>
    <xf numFmtId="0" fontId="6" fillId="9" borderId="16" xfId="0" quotePrefix="1" applyFont="1" applyFill="1" applyBorder="1" applyAlignment="1">
      <alignment horizontal="center" vertical="center" wrapText="1"/>
    </xf>
    <xf numFmtId="0" fontId="6" fillId="9" borderId="17" xfId="0" quotePrefix="1" applyFont="1" applyFill="1" applyBorder="1" applyAlignment="1">
      <alignment horizontal="center" vertical="center" wrapText="1"/>
    </xf>
    <xf numFmtId="0" fontId="6" fillId="9" borderId="18" xfId="0" quotePrefix="1" applyFont="1" applyFill="1" applyBorder="1" applyAlignment="1">
      <alignment horizontal="center" vertical="center" wrapText="1"/>
    </xf>
    <xf numFmtId="0" fontId="6" fillId="9" borderId="19" xfId="0" quotePrefix="1" applyFont="1" applyFill="1" applyBorder="1" applyAlignment="1">
      <alignment horizontal="center" vertical="center" wrapText="1"/>
    </xf>
    <xf numFmtId="0" fontId="5" fillId="9" borderId="17" xfId="0" applyFont="1" applyFill="1" applyBorder="1"/>
    <xf numFmtId="0" fontId="5" fillId="9" borderId="17" xfId="0" quotePrefix="1" applyFont="1" applyFill="1" applyBorder="1" applyAlignment="1">
      <alignment horizontal="center"/>
    </xf>
    <xf numFmtId="2" fontId="5" fillId="9" borderId="21" xfId="0" applyNumberFormat="1" applyFont="1" applyFill="1" applyBorder="1" applyAlignment="1">
      <alignment horizontal="center"/>
    </xf>
    <xf numFmtId="0" fontId="5" fillId="9" borderId="21" xfId="0" applyFont="1" applyFill="1" applyBorder="1" applyAlignment="1">
      <alignment horizontal="center"/>
    </xf>
    <xf numFmtId="0" fontId="5" fillId="9" borderId="0" xfId="0" applyFont="1" applyFill="1"/>
    <xf numFmtId="2" fontId="5" fillId="9" borderId="17" xfId="0" applyNumberFormat="1" applyFont="1" applyFill="1" applyBorder="1"/>
    <xf numFmtId="2" fontId="5" fillId="9" borderId="0" xfId="0" applyNumberFormat="1" applyFont="1" applyFill="1"/>
    <xf numFmtId="2" fontId="5" fillId="9" borderId="20" xfId="0" applyNumberFormat="1" applyFont="1" applyFill="1" applyBorder="1"/>
    <xf numFmtId="0" fontId="6" fillId="9" borderId="18" xfId="0" quotePrefix="1" applyFont="1" applyFill="1" applyBorder="1" applyAlignment="1">
      <alignment horizontal="center"/>
    </xf>
    <xf numFmtId="0" fontId="6" fillId="9" borderId="21" xfId="0" quotePrefix="1" applyFont="1" applyFill="1" applyBorder="1" applyAlignment="1">
      <alignment horizontal="center"/>
    </xf>
    <xf numFmtId="0" fontId="5" fillId="9" borderId="17" xfId="0" quotePrefix="1" applyFont="1" applyFill="1" applyBorder="1"/>
    <xf numFmtId="0" fontId="6" fillId="9" borderId="18" xfId="0" applyFont="1" applyFill="1" applyBorder="1"/>
    <xf numFmtId="0" fontId="5" fillId="9" borderId="21" xfId="0" applyFont="1" applyFill="1" applyBorder="1"/>
    <xf numFmtId="1" fontId="5" fillId="9" borderId="17" xfId="0" applyNumberFormat="1" applyFont="1" applyFill="1" applyBorder="1"/>
    <xf numFmtId="2" fontId="5" fillId="9" borderId="18" xfId="0" applyNumberFormat="1" applyFont="1" applyFill="1" applyBorder="1"/>
    <xf numFmtId="0" fontId="5" fillId="9" borderId="18" xfId="0" applyFont="1" applyFill="1" applyBorder="1" applyAlignment="1">
      <alignment horizontal="center"/>
    </xf>
    <xf numFmtId="2" fontId="5" fillId="9" borderId="28" xfId="0" applyNumberFormat="1" applyFont="1" applyFill="1" applyBorder="1"/>
    <xf numFmtId="2" fontId="5" fillId="9" borderId="29" xfId="0" applyNumberFormat="1" applyFont="1" applyFill="1" applyBorder="1"/>
    <xf numFmtId="2" fontId="11" fillId="10" borderId="24" xfId="0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3"/>
  <sheetViews>
    <sheetView tabSelected="1" topLeftCell="A2" workbookViewId="0">
      <selection activeCell="Q17" sqref="Q17"/>
    </sheetView>
  </sheetViews>
  <sheetFormatPr baseColWidth="10" defaultRowHeight="15" x14ac:dyDescent="0.25"/>
  <cols>
    <col min="6" max="6" width="6.140625" customWidth="1"/>
    <col min="7" max="7" width="13.5703125" customWidth="1"/>
    <col min="11" max="11" width="13.7109375" customWidth="1"/>
    <col min="21" max="21" width="13.140625" customWidth="1"/>
    <col min="23" max="23" width="16.140625" customWidth="1"/>
    <col min="26" max="26" width="14.42578125" customWidth="1"/>
    <col min="27" max="27" width="14.7109375" customWidth="1"/>
    <col min="28" max="28" width="21.7109375" customWidth="1"/>
    <col min="29" max="29" width="13.5703125" customWidth="1"/>
    <col min="31" max="31" width="15.140625" customWidth="1"/>
    <col min="33" max="33" width="13.5703125" customWidth="1"/>
    <col min="34" max="34" width="18.7109375" customWidth="1"/>
    <col min="35" max="35" width="14.85546875" customWidth="1"/>
    <col min="36" max="36" width="14.5703125" customWidth="1"/>
  </cols>
  <sheetData>
    <row r="1" spans="1:36" ht="19.5" thickBot="1" x14ac:dyDescent="0.35">
      <c r="A1" s="1" t="s">
        <v>0</v>
      </c>
      <c r="B1" s="2"/>
      <c r="C1" s="3"/>
      <c r="D1" s="4"/>
      <c r="E1" s="4"/>
      <c r="F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6" ht="18.75" x14ac:dyDescent="0.3">
      <c r="B2" s="5" t="s">
        <v>1</v>
      </c>
      <c r="C2" s="6"/>
      <c r="D2" s="7"/>
      <c r="E2" s="8"/>
      <c r="F2" s="4"/>
      <c r="G2" s="5" t="s">
        <v>2</v>
      </c>
      <c r="H2" s="7"/>
      <c r="I2" s="9"/>
      <c r="J2" s="9"/>
      <c r="K2" s="8"/>
      <c r="L2" s="4"/>
      <c r="M2" s="4"/>
      <c r="N2" s="4"/>
      <c r="O2" s="4"/>
      <c r="P2" s="10" t="s">
        <v>3</v>
      </c>
      <c r="Q2" s="10"/>
      <c r="R2" s="10"/>
      <c r="S2" s="10"/>
      <c r="T2" s="4"/>
      <c r="U2" s="4"/>
      <c r="V2" s="10" t="s">
        <v>4</v>
      </c>
      <c r="W2" s="10"/>
      <c r="X2" s="10"/>
      <c r="Y2" s="4"/>
      <c r="Z2" s="4"/>
      <c r="AA2" s="4"/>
      <c r="AB2" s="4"/>
      <c r="AC2" s="4"/>
      <c r="AD2" s="4"/>
      <c r="AE2" s="4"/>
      <c r="AF2" s="4"/>
      <c r="AG2" s="4"/>
    </row>
    <row r="3" spans="1:36" x14ac:dyDescent="0.25">
      <c r="B3" s="11" t="s">
        <v>5</v>
      </c>
      <c r="C3" s="4"/>
      <c r="D3" s="12">
        <v>10.15</v>
      </c>
      <c r="E3" s="13"/>
      <c r="F3" s="4"/>
      <c r="G3" s="11" t="s">
        <v>6</v>
      </c>
      <c r="H3" s="4"/>
      <c r="I3" s="4"/>
      <c r="J3" s="4"/>
      <c r="K3" s="13"/>
      <c r="L3" s="4"/>
      <c r="M3" s="4"/>
      <c r="N3" s="4"/>
      <c r="O3" s="4"/>
      <c r="P3" s="10"/>
      <c r="Q3" s="10"/>
      <c r="R3" s="10"/>
      <c r="S3" s="10"/>
      <c r="T3" s="4"/>
      <c r="U3" s="4"/>
      <c r="V3" s="10"/>
      <c r="W3" s="10"/>
      <c r="X3" s="10"/>
      <c r="Y3" s="4"/>
      <c r="Z3" s="4"/>
      <c r="AA3" s="4"/>
      <c r="AB3" s="4"/>
      <c r="AC3" s="4"/>
      <c r="AD3" s="4"/>
      <c r="AE3" s="4"/>
      <c r="AF3" s="4"/>
      <c r="AG3" s="4"/>
    </row>
    <row r="4" spans="1:36" ht="15.75" thickBot="1" x14ac:dyDescent="0.3">
      <c r="B4" s="11" t="s">
        <v>7</v>
      </c>
      <c r="C4" s="4"/>
      <c r="D4" s="14">
        <v>0.32450000000000001</v>
      </c>
      <c r="E4" s="13"/>
      <c r="F4" s="4"/>
      <c r="G4" s="11" t="s">
        <v>8</v>
      </c>
      <c r="H4" s="4"/>
      <c r="I4" s="4"/>
      <c r="K4" s="13"/>
      <c r="L4" s="15"/>
      <c r="M4" s="4"/>
      <c r="N4" s="4"/>
      <c r="O4" s="4"/>
      <c r="P4" s="10"/>
      <c r="Q4" s="4"/>
      <c r="R4" s="4"/>
      <c r="S4" s="4"/>
      <c r="T4" s="4"/>
      <c r="U4" s="4"/>
      <c r="V4" s="10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1:36" ht="15.75" thickBot="1" x14ac:dyDescent="0.3">
      <c r="B5" s="11" t="s">
        <v>9</v>
      </c>
      <c r="C5" s="4"/>
      <c r="D5" s="16"/>
      <c r="E5" s="17"/>
      <c r="F5" s="4"/>
      <c r="G5" s="11" t="s">
        <v>10</v>
      </c>
      <c r="H5" s="4"/>
      <c r="I5" s="4"/>
      <c r="J5" s="4"/>
      <c r="K5" s="18"/>
      <c r="L5" s="4"/>
      <c r="M5" s="4"/>
      <c r="N5" s="19" t="s">
        <v>11</v>
      </c>
      <c r="O5" s="20"/>
      <c r="P5" s="21"/>
      <c r="Q5" s="21"/>
      <c r="R5" s="22" t="s">
        <v>12</v>
      </c>
      <c r="S5" s="7"/>
      <c r="T5" s="7"/>
      <c r="U5" s="7"/>
      <c r="V5" s="7"/>
      <c r="W5" s="7"/>
      <c r="X5" s="7"/>
      <c r="Y5" s="23"/>
      <c r="Z5" s="7"/>
      <c r="AA5" s="7"/>
      <c r="AB5" s="7"/>
      <c r="AC5" s="7"/>
      <c r="AD5" s="7"/>
      <c r="AE5" s="7"/>
      <c r="AF5" s="7"/>
      <c r="AG5" s="7"/>
      <c r="AH5" s="9"/>
      <c r="AI5" s="9"/>
      <c r="AJ5" s="24"/>
    </row>
    <row r="6" spans="1:36" ht="19.5" thickBot="1" x14ac:dyDescent="0.35">
      <c r="B6" s="25" t="s">
        <v>13</v>
      </c>
      <c r="C6" s="26"/>
      <c r="D6" s="26"/>
      <c r="E6" s="27"/>
      <c r="F6" s="4"/>
      <c r="G6" s="25" t="s">
        <v>14</v>
      </c>
      <c r="H6" s="26"/>
      <c r="I6" s="28"/>
      <c r="J6" s="29"/>
      <c r="K6" s="27"/>
      <c r="L6" s="4"/>
      <c r="M6" s="4"/>
      <c r="N6" s="30"/>
      <c r="O6" s="31"/>
      <c r="P6" s="31"/>
      <c r="Q6" s="32"/>
      <c r="R6" s="33" t="s">
        <v>15</v>
      </c>
      <c r="S6" s="34"/>
      <c r="T6" s="34"/>
      <c r="U6" s="35"/>
      <c r="V6" s="36" t="s">
        <v>16</v>
      </c>
      <c r="W6" s="37"/>
      <c r="X6" s="38"/>
      <c r="Y6" s="38"/>
      <c r="Z6" s="38"/>
      <c r="AA6" s="39"/>
      <c r="AB6" s="40" t="s">
        <v>17</v>
      </c>
      <c r="AC6" s="41"/>
      <c r="AD6" s="41"/>
      <c r="AE6" s="41"/>
      <c r="AF6" s="41"/>
      <c r="AG6" s="42"/>
      <c r="AH6" s="43" t="s">
        <v>18</v>
      </c>
      <c r="AI6" s="44"/>
      <c r="AJ6" s="45"/>
    </row>
    <row r="7" spans="1:36" ht="75" x14ac:dyDescent="0.25">
      <c r="A7" s="98" t="s">
        <v>19</v>
      </c>
      <c r="B7" s="98" t="s">
        <v>20</v>
      </c>
      <c r="C7" s="98" t="s">
        <v>21</v>
      </c>
      <c r="D7" s="98" t="s">
        <v>22</v>
      </c>
      <c r="E7" s="99" t="s">
        <v>23</v>
      </c>
      <c r="F7" s="99" t="s">
        <v>24</v>
      </c>
      <c r="G7" s="99" t="s">
        <v>25</v>
      </c>
      <c r="H7" s="99" t="s">
        <v>26</v>
      </c>
      <c r="I7" s="99" t="s">
        <v>27</v>
      </c>
      <c r="J7" s="99" t="s">
        <v>28</v>
      </c>
      <c r="K7" s="99" t="s">
        <v>29</v>
      </c>
      <c r="L7" s="99" t="s">
        <v>30</v>
      </c>
      <c r="M7" s="100" t="s">
        <v>31</v>
      </c>
      <c r="N7" s="101" t="s">
        <v>32</v>
      </c>
      <c r="O7" s="98" t="s">
        <v>33</v>
      </c>
      <c r="P7" s="98" t="s">
        <v>34</v>
      </c>
      <c r="Q7" s="46" t="s">
        <v>35</v>
      </c>
      <c r="R7" s="47" t="s">
        <v>36</v>
      </c>
      <c r="S7" s="48" t="s">
        <v>37</v>
      </c>
      <c r="T7" s="48" t="s">
        <v>38</v>
      </c>
      <c r="U7" s="49" t="s">
        <v>39</v>
      </c>
      <c r="V7" s="50" t="s">
        <v>40</v>
      </c>
      <c r="W7" s="51" t="s">
        <v>41</v>
      </c>
      <c r="X7" s="51" t="s">
        <v>42</v>
      </c>
      <c r="Y7" s="51" t="s">
        <v>43</v>
      </c>
      <c r="Z7" s="51" t="s">
        <v>44</v>
      </c>
      <c r="AA7" s="52" t="s">
        <v>45</v>
      </c>
      <c r="AB7" s="53" t="s">
        <v>46</v>
      </c>
      <c r="AC7" s="54" t="s">
        <v>47</v>
      </c>
      <c r="AD7" s="54" t="s">
        <v>48</v>
      </c>
      <c r="AE7" s="54" t="s">
        <v>49</v>
      </c>
      <c r="AF7" s="54" t="s">
        <v>50</v>
      </c>
      <c r="AG7" s="55" t="s">
        <v>51</v>
      </c>
      <c r="AH7" s="56" t="s">
        <v>52</v>
      </c>
      <c r="AI7" s="57" t="s">
        <v>53</v>
      </c>
      <c r="AJ7" s="58" t="s">
        <v>54</v>
      </c>
    </row>
    <row r="8" spans="1:36" x14ac:dyDescent="0.25">
      <c r="A8" s="102">
        <v>202001</v>
      </c>
      <c r="B8" s="103"/>
      <c r="C8" s="104" t="s">
        <v>55</v>
      </c>
      <c r="D8" s="105"/>
      <c r="E8" s="102" t="s">
        <v>56</v>
      </c>
      <c r="F8" s="106" t="s">
        <v>57</v>
      </c>
      <c r="G8" s="102">
        <v>9012</v>
      </c>
      <c r="H8" s="102">
        <v>18</v>
      </c>
      <c r="I8" s="107" t="str">
        <f t="shared" ref="I8:I19" si="0">IF(OR(G8=0,H8=0),"",IF(C8="Total Y",G8/H8,""))</f>
        <v/>
      </c>
      <c r="J8" s="108">
        <v>202.59</v>
      </c>
      <c r="K8" s="108">
        <v>152</v>
      </c>
      <c r="L8" s="107">
        <v>34</v>
      </c>
      <c r="M8" s="108">
        <v>16.590000000000003</v>
      </c>
      <c r="N8" s="109">
        <v>2369.36</v>
      </c>
      <c r="O8" s="107">
        <v>231.48</v>
      </c>
      <c r="P8" s="107">
        <v>-447.22</v>
      </c>
      <c r="Q8" s="120">
        <f>IF(MOD(ROW()-7,13)=0,SUM(#REF!),P8*1.3)</f>
        <v>-581.38600000000008</v>
      </c>
      <c r="R8" s="59">
        <f>IF(J8&lt;=152,J8*$D$3,IF(J8&lt;186,152*$D$3+(J8-152)*(1.25*$D$3),(152*$D$3)+34*1.25*$D$3+(J8-186)*1.5*$D$3))</f>
        <v>2226.7577500000002</v>
      </c>
      <c r="S8" s="60">
        <f t="shared" ref="S8:S19" si="1">(N8+O8)*0.2</f>
        <v>520.16800000000001</v>
      </c>
      <c r="T8" s="60">
        <f t="shared" ref="T8:T19" si="2">IF((N8+O8-S8)&gt;R8,N8+O8-S8,R8)</f>
        <v>2226.7577500000002</v>
      </c>
      <c r="U8" s="61">
        <f t="shared" ref="U8:U19" si="3">N8-T8</f>
        <v>142.60224999999991</v>
      </c>
      <c r="V8" s="59">
        <f>IF(F8="GR7",$D$3*K8*45/35+M8*$D$3,$D$3*K8*40/35+M8*$D$3)</f>
        <v>2151.9884999999999</v>
      </c>
      <c r="W8" s="60">
        <f>T8</f>
        <v>2226.7577500000002</v>
      </c>
      <c r="X8" s="62">
        <f t="shared" ref="X8:X19" si="4">IF(A8="","",IF(W8=0,0,MIN(ROUND(((1.6*V8)/W8-1)*($D$4/0.6)*100/90,4),$D$4)))</f>
        <v>0.32450000000000001</v>
      </c>
      <c r="Y8" s="60">
        <f t="shared" ref="Y8:Y19" si="5">IF(X8&lt;0,0,-W8*X8)</f>
        <v>-722.58288987500009</v>
      </c>
      <c r="Z8" s="60">
        <f>IF(Y8&gt;=0,"",IF(Y8&gt;Q8,Y8,Q8))</f>
        <v>-581.38600000000008</v>
      </c>
      <c r="AA8" s="61">
        <f>IF(Y8&gt;=0,IF(Y8&gt;Q8,Y8,Q8),0)</f>
        <v>0</v>
      </c>
      <c r="AB8" s="59">
        <f t="shared" ref="AB8:AB19" si="6">U8*50%</f>
        <v>71.301124999999956</v>
      </c>
      <c r="AC8" s="60">
        <f>Z8-P8-AA8</f>
        <v>-134.16600000000005</v>
      </c>
      <c r="AD8" s="60">
        <f>AB8-AC8</f>
        <v>205.46712500000001</v>
      </c>
      <c r="AE8" s="63">
        <f>U8*0.16445</f>
        <v>23.450940012499988</v>
      </c>
      <c r="AF8" s="64"/>
      <c r="AG8" s="65"/>
      <c r="AH8" s="66"/>
      <c r="AI8" s="67">
        <f t="shared" ref="AI8:AI19" si="7">P8</f>
        <v>-447.22</v>
      </c>
      <c r="AJ8" s="68"/>
    </row>
    <row r="9" spans="1:36" x14ac:dyDescent="0.25">
      <c r="A9" s="102">
        <v>202002</v>
      </c>
      <c r="B9" s="103"/>
      <c r="C9" s="104" t="s">
        <v>55</v>
      </c>
      <c r="D9" s="105"/>
      <c r="E9" s="102" t="s">
        <v>56</v>
      </c>
      <c r="F9" s="106" t="s">
        <v>57</v>
      </c>
      <c r="G9" s="102">
        <v>8750</v>
      </c>
      <c r="H9" s="102">
        <v>20</v>
      </c>
      <c r="I9" s="107" t="str">
        <f t="shared" si="0"/>
        <v/>
      </c>
      <c r="J9" s="108">
        <v>200</v>
      </c>
      <c r="K9" s="108">
        <v>152</v>
      </c>
      <c r="L9" s="107">
        <v>34</v>
      </c>
      <c r="M9" s="108">
        <v>14</v>
      </c>
      <c r="N9" s="109">
        <v>2327.4</v>
      </c>
      <c r="O9" s="107">
        <v>293.48</v>
      </c>
      <c r="P9" s="107">
        <v>-448.18</v>
      </c>
      <c r="Q9" s="120">
        <f>IF(MOD(ROW()-7,13)=0,SUM(#REF!),P9*1.3)</f>
        <v>-582.63400000000001</v>
      </c>
      <c r="R9" s="59">
        <f t="shared" ref="R9:R19" si="8">IF(J9&lt;=152,J9*$D$3,IF(J9&lt;186,152*$D$3+(J9-152)*(1.25*$D$3),(152*$D$3)+34*1.25*$D$3+(J9-186)*1.5*$D$3))</f>
        <v>2187.3249999999998</v>
      </c>
      <c r="S9" s="60">
        <f t="shared" si="1"/>
        <v>524.17600000000004</v>
      </c>
      <c r="T9" s="60">
        <f t="shared" si="2"/>
        <v>2187.3249999999998</v>
      </c>
      <c r="U9" s="61">
        <f t="shared" si="3"/>
        <v>140.07500000000027</v>
      </c>
      <c r="V9" s="59">
        <f t="shared" ref="V9:V19" si="9">IF(F9="GR7",$D$3*K9*45/35+M9*$D$3,$D$3*K9*40/35+M9*$D$3)+V8</f>
        <v>4277.6885000000002</v>
      </c>
      <c r="W9" s="60">
        <f>T9+W8</f>
        <v>4414.0827499999996</v>
      </c>
      <c r="X9" s="62">
        <f t="shared" si="4"/>
        <v>0.32450000000000001</v>
      </c>
      <c r="Y9" s="60">
        <f t="shared" si="5"/>
        <v>-1432.3698523749999</v>
      </c>
      <c r="Z9" s="60">
        <f t="shared" ref="Z9:Z19" si="10">IF((Y9-Y8)&gt;0,"",IF((Y9-Y8)&gt;Q9,Y9-Y8,Q9))</f>
        <v>-582.63400000000001</v>
      </c>
      <c r="AA9" s="61">
        <f>IF((Y9-Y8)&gt;0,IF((Y9-Y8)&gt;Q9,Y9-Y8,Q9),0)</f>
        <v>0</v>
      </c>
      <c r="AB9" s="59">
        <f t="shared" si="6"/>
        <v>70.037500000000136</v>
      </c>
      <c r="AC9" s="60">
        <f t="shared" ref="AC9:AC19" si="11">Z9-P9-AA9</f>
        <v>-134.45400000000001</v>
      </c>
      <c r="AD9" s="60">
        <f t="shared" ref="AD9:AD19" si="12">AB9-AC9</f>
        <v>204.49150000000014</v>
      </c>
      <c r="AE9" s="63">
        <f t="shared" ref="AE9:AE19" si="13">U9*0.16445</f>
        <v>23.035333750000046</v>
      </c>
      <c r="AF9" s="64"/>
      <c r="AG9" s="65"/>
      <c r="AH9" s="66"/>
      <c r="AI9" s="67">
        <f t="shared" si="7"/>
        <v>-448.18</v>
      </c>
      <c r="AJ9" s="68"/>
    </row>
    <row r="10" spans="1:36" x14ac:dyDescent="0.25">
      <c r="A10" s="102">
        <v>202003</v>
      </c>
      <c r="B10" s="103"/>
      <c r="C10" s="104" t="s">
        <v>55</v>
      </c>
      <c r="D10" s="105"/>
      <c r="E10" s="102" t="s">
        <v>56</v>
      </c>
      <c r="F10" s="106" t="s">
        <v>57</v>
      </c>
      <c r="G10" s="102">
        <v>10184</v>
      </c>
      <c r="H10" s="102">
        <v>20</v>
      </c>
      <c r="I10" s="107" t="str">
        <f t="shared" si="0"/>
        <v/>
      </c>
      <c r="J10" s="108">
        <v>203.42</v>
      </c>
      <c r="K10" s="108">
        <v>152</v>
      </c>
      <c r="L10" s="107">
        <v>34</v>
      </c>
      <c r="M10" s="108">
        <v>17.419999999999987</v>
      </c>
      <c r="N10" s="109">
        <v>2474.8000000000002</v>
      </c>
      <c r="O10" s="107">
        <v>222.02</v>
      </c>
      <c r="P10" s="107">
        <v>-402.82</v>
      </c>
      <c r="Q10" s="120">
        <f>IF(MOD(ROW()-7,13)=0,SUM(#REF!),P10*1.3)</f>
        <v>-523.66600000000005</v>
      </c>
      <c r="R10" s="59">
        <f t="shared" si="8"/>
        <v>2239.3944999999999</v>
      </c>
      <c r="S10" s="60">
        <f t="shared" si="1"/>
        <v>539.36400000000003</v>
      </c>
      <c r="T10" s="60">
        <f t="shared" si="2"/>
        <v>2239.3944999999999</v>
      </c>
      <c r="U10" s="61">
        <f t="shared" si="3"/>
        <v>235.4055000000003</v>
      </c>
      <c r="V10" s="59">
        <f t="shared" si="9"/>
        <v>6438.1014999999998</v>
      </c>
      <c r="W10" s="60">
        <f t="shared" ref="W10:W19" si="14">T10+W9</f>
        <v>6653.4772499999999</v>
      </c>
      <c r="X10" s="62">
        <f t="shared" si="4"/>
        <v>0.32450000000000001</v>
      </c>
      <c r="Y10" s="60">
        <f t="shared" si="5"/>
        <v>-2159.0533676250002</v>
      </c>
      <c r="Z10" s="60">
        <f t="shared" si="10"/>
        <v>-523.66600000000005</v>
      </c>
      <c r="AA10" s="61">
        <f t="shared" ref="AA10:AA19" si="15">IF((Y10-Y9)&gt;0,IF((Y10-Y9)&gt;Q10,Y10-Y9,Q10),0)</f>
        <v>0</v>
      </c>
      <c r="AB10" s="59">
        <f t="shared" si="6"/>
        <v>117.70275000000015</v>
      </c>
      <c r="AC10" s="60">
        <f t="shared" si="11"/>
        <v>-120.84600000000006</v>
      </c>
      <c r="AD10" s="60">
        <f t="shared" si="12"/>
        <v>238.54875000000021</v>
      </c>
      <c r="AE10" s="63">
        <f t="shared" si="13"/>
        <v>38.712434475000052</v>
      </c>
      <c r="AF10" s="64"/>
      <c r="AG10" s="65"/>
      <c r="AH10" s="66"/>
      <c r="AI10" s="67">
        <f t="shared" si="7"/>
        <v>-402.82</v>
      </c>
      <c r="AJ10" s="68"/>
    </row>
    <row r="11" spans="1:36" x14ac:dyDescent="0.25">
      <c r="A11" s="102">
        <v>202004</v>
      </c>
      <c r="B11" s="103"/>
      <c r="C11" s="104" t="s">
        <v>55</v>
      </c>
      <c r="D11" s="105"/>
      <c r="E11" s="102" t="s">
        <v>56</v>
      </c>
      <c r="F11" s="106" t="s">
        <v>57</v>
      </c>
      <c r="G11" s="102">
        <v>10754</v>
      </c>
      <c r="H11" s="102">
        <v>22</v>
      </c>
      <c r="I11" s="107" t="str">
        <f t="shared" si="0"/>
        <v/>
      </c>
      <c r="J11" s="108">
        <v>204.16</v>
      </c>
      <c r="K11" s="108">
        <v>152</v>
      </c>
      <c r="L11" s="107">
        <v>34</v>
      </c>
      <c r="M11" s="108">
        <v>18.159999999999997</v>
      </c>
      <c r="N11" s="109">
        <v>3096.54</v>
      </c>
      <c r="O11" s="107">
        <v>471.76</v>
      </c>
      <c r="P11" s="107">
        <v>-113.69</v>
      </c>
      <c r="Q11" s="120">
        <f>IF(MOD(ROW()-7,13)=0,SUM(#REF!),P11*1.3)</f>
        <v>-147.797</v>
      </c>
      <c r="R11" s="59">
        <f t="shared" si="8"/>
        <v>2250.6610000000001</v>
      </c>
      <c r="S11" s="60">
        <f t="shared" si="1"/>
        <v>713.66000000000008</v>
      </c>
      <c r="T11" s="60">
        <f t="shared" si="2"/>
        <v>2854.6400000000003</v>
      </c>
      <c r="U11" s="61">
        <f t="shared" si="3"/>
        <v>241.89999999999964</v>
      </c>
      <c r="V11" s="59">
        <f t="shared" si="9"/>
        <v>8606.0254999999997</v>
      </c>
      <c r="W11" s="60">
        <f t="shared" si="14"/>
        <v>9508.1172499999993</v>
      </c>
      <c r="X11" s="62">
        <f t="shared" si="4"/>
        <v>0.26929999999999998</v>
      </c>
      <c r="Y11" s="60">
        <f t="shared" si="5"/>
        <v>-2560.5359754249998</v>
      </c>
      <c r="Z11" s="60">
        <f t="shared" si="10"/>
        <v>-147.797</v>
      </c>
      <c r="AA11" s="61">
        <f t="shared" si="15"/>
        <v>0</v>
      </c>
      <c r="AB11" s="59">
        <f t="shared" si="6"/>
        <v>120.94999999999982</v>
      </c>
      <c r="AC11" s="60">
        <f t="shared" si="11"/>
        <v>-34.106999999999999</v>
      </c>
      <c r="AD11" s="60">
        <f t="shared" si="12"/>
        <v>155.05699999999982</v>
      </c>
      <c r="AE11" s="63">
        <f t="shared" si="13"/>
        <v>39.780454999999947</v>
      </c>
      <c r="AF11" s="64"/>
      <c r="AG11" s="69"/>
      <c r="AH11" s="70"/>
      <c r="AI11" s="67">
        <f t="shared" si="7"/>
        <v>-113.69</v>
      </c>
      <c r="AJ11" s="71"/>
    </row>
    <row r="12" spans="1:36" x14ac:dyDescent="0.25">
      <c r="A12" s="102">
        <v>202005</v>
      </c>
      <c r="B12" s="103"/>
      <c r="C12" s="104" t="s">
        <v>55</v>
      </c>
      <c r="D12" s="105"/>
      <c r="E12" s="102" t="s">
        <v>56</v>
      </c>
      <c r="F12" s="106" t="s">
        <v>57</v>
      </c>
      <c r="G12" s="102">
        <v>8020</v>
      </c>
      <c r="H12" s="102">
        <v>15</v>
      </c>
      <c r="I12" s="107" t="str">
        <f t="shared" si="0"/>
        <v/>
      </c>
      <c r="J12" s="108">
        <v>203.4</v>
      </c>
      <c r="K12" s="108">
        <v>152</v>
      </c>
      <c r="L12" s="107">
        <v>34</v>
      </c>
      <c r="M12" s="108">
        <v>17.400000000000006</v>
      </c>
      <c r="N12" s="109">
        <v>2396.7399999999998</v>
      </c>
      <c r="O12" s="107">
        <v>410.04</v>
      </c>
      <c r="P12" s="107">
        <v>-440.45</v>
      </c>
      <c r="Q12" s="120">
        <f>IF(MOD(ROW()-7,13)=0,SUM(#REF!),P12*1.3)</f>
        <v>-572.58500000000004</v>
      </c>
      <c r="R12" s="59">
        <f t="shared" si="8"/>
        <v>2239.09</v>
      </c>
      <c r="S12" s="60">
        <f t="shared" si="1"/>
        <v>561.35599999999999</v>
      </c>
      <c r="T12" s="60">
        <f t="shared" si="2"/>
        <v>2245.424</v>
      </c>
      <c r="U12" s="61">
        <f t="shared" si="3"/>
        <v>151.3159999999998</v>
      </c>
      <c r="V12" s="59">
        <f t="shared" si="9"/>
        <v>10766.235499999999</v>
      </c>
      <c r="W12" s="60">
        <f t="shared" si="14"/>
        <v>11753.541249999998</v>
      </c>
      <c r="X12" s="62">
        <f t="shared" si="4"/>
        <v>0.27979999999999999</v>
      </c>
      <c r="Y12" s="60">
        <f t="shared" si="5"/>
        <v>-3288.6408417499993</v>
      </c>
      <c r="Z12" s="60">
        <f t="shared" si="10"/>
        <v>-572.58500000000004</v>
      </c>
      <c r="AA12" s="61">
        <f t="shared" si="15"/>
        <v>0</v>
      </c>
      <c r="AB12" s="59">
        <f t="shared" si="6"/>
        <v>75.657999999999902</v>
      </c>
      <c r="AC12" s="60">
        <f t="shared" si="11"/>
        <v>-132.13500000000005</v>
      </c>
      <c r="AD12" s="60">
        <f t="shared" si="12"/>
        <v>207.79299999999995</v>
      </c>
      <c r="AE12" s="63">
        <f t="shared" si="13"/>
        <v>24.88391619999997</v>
      </c>
      <c r="AF12" s="64"/>
      <c r="AG12" s="65"/>
      <c r="AH12" s="72"/>
      <c r="AI12" s="67">
        <f t="shared" si="7"/>
        <v>-440.45</v>
      </c>
      <c r="AJ12" s="68"/>
    </row>
    <row r="13" spans="1:36" x14ac:dyDescent="0.25">
      <c r="A13" s="102">
        <v>202006</v>
      </c>
      <c r="B13" s="103"/>
      <c r="C13" s="104" t="s">
        <v>55</v>
      </c>
      <c r="D13" s="105"/>
      <c r="E13" s="102" t="s">
        <v>56</v>
      </c>
      <c r="F13" s="106" t="s">
        <v>57</v>
      </c>
      <c r="G13" s="102">
        <v>6413</v>
      </c>
      <c r="H13" s="102">
        <v>13</v>
      </c>
      <c r="I13" s="107" t="str">
        <f t="shared" si="0"/>
        <v/>
      </c>
      <c r="J13" s="108">
        <v>202.66</v>
      </c>
      <c r="K13" s="108">
        <v>152</v>
      </c>
      <c r="L13" s="107">
        <v>34</v>
      </c>
      <c r="M13" s="108">
        <v>16.66</v>
      </c>
      <c r="N13" s="109">
        <v>2476.6799999999998</v>
      </c>
      <c r="O13" s="107">
        <v>300.38</v>
      </c>
      <c r="P13" s="107">
        <v>-395.2</v>
      </c>
      <c r="Q13" s="120">
        <f t="shared" ref="Q13:Q33" si="16">IF(MOD(ROW()-7,13)=0,SUM(Q1:Q12),P13*1.3)</f>
        <v>-513.76</v>
      </c>
      <c r="R13" s="59">
        <f t="shared" si="8"/>
        <v>2227.8235</v>
      </c>
      <c r="S13" s="60">
        <f t="shared" si="1"/>
        <v>555.41200000000003</v>
      </c>
      <c r="T13" s="60">
        <f t="shared" si="2"/>
        <v>2227.8235</v>
      </c>
      <c r="U13" s="61">
        <f t="shared" si="3"/>
        <v>248.85649999999987</v>
      </c>
      <c r="V13" s="59">
        <f t="shared" si="9"/>
        <v>12918.934499999999</v>
      </c>
      <c r="W13" s="60">
        <f t="shared" si="14"/>
        <v>13981.364749999999</v>
      </c>
      <c r="X13" s="62">
        <f t="shared" si="4"/>
        <v>0.28749999999999998</v>
      </c>
      <c r="Y13" s="60">
        <f t="shared" si="5"/>
        <v>-4019.6423656249995</v>
      </c>
      <c r="Z13" s="60">
        <f t="shared" si="10"/>
        <v>-513.76</v>
      </c>
      <c r="AA13" s="61">
        <f t="shared" si="15"/>
        <v>0</v>
      </c>
      <c r="AB13" s="59">
        <f t="shared" si="6"/>
        <v>124.42824999999993</v>
      </c>
      <c r="AC13" s="60">
        <f t="shared" si="11"/>
        <v>-118.56</v>
      </c>
      <c r="AD13" s="60">
        <f t="shared" si="12"/>
        <v>242.98824999999994</v>
      </c>
      <c r="AE13" s="63">
        <f t="shared" si="13"/>
        <v>40.92445142499998</v>
      </c>
      <c r="AF13" s="64"/>
      <c r="AG13" s="73"/>
      <c r="AH13" s="74"/>
      <c r="AI13" s="67">
        <f t="shared" si="7"/>
        <v>-395.2</v>
      </c>
      <c r="AJ13" s="75"/>
    </row>
    <row r="14" spans="1:36" x14ac:dyDescent="0.25">
      <c r="A14" s="102">
        <v>202007</v>
      </c>
      <c r="B14" s="103"/>
      <c r="C14" s="104" t="s">
        <v>55</v>
      </c>
      <c r="D14" s="105"/>
      <c r="E14" s="102" t="s">
        <v>56</v>
      </c>
      <c r="F14" s="106" t="s">
        <v>57</v>
      </c>
      <c r="G14" s="102">
        <v>8779</v>
      </c>
      <c r="H14" s="102">
        <v>18</v>
      </c>
      <c r="I14" s="107" t="str">
        <f t="shared" si="0"/>
        <v/>
      </c>
      <c r="J14" s="108">
        <v>202.85</v>
      </c>
      <c r="K14" s="108">
        <v>152</v>
      </c>
      <c r="L14" s="107">
        <v>34</v>
      </c>
      <c r="M14" s="108">
        <v>16.849999999999994</v>
      </c>
      <c r="N14" s="109">
        <v>2387.77</v>
      </c>
      <c r="O14" s="107">
        <v>357.8</v>
      </c>
      <c r="P14" s="107">
        <v>-441.63</v>
      </c>
      <c r="Q14" s="120">
        <f t="shared" si="16"/>
        <v>-574.11900000000003</v>
      </c>
      <c r="R14" s="59">
        <f t="shared" si="8"/>
        <v>2230.7162499999999</v>
      </c>
      <c r="S14" s="60">
        <f t="shared" si="1"/>
        <v>549.11400000000003</v>
      </c>
      <c r="T14" s="60">
        <f t="shared" si="2"/>
        <v>2230.7162499999999</v>
      </c>
      <c r="U14" s="61">
        <f t="shared" si="3"/>
        <v>157.05375000000004</v>
      </c>
      <c r="V14" s="59">
        <f t="shared" si="9"/>
        <v>15073.562</v>
      </c>
      <c r="W14" s="60">
        <f t="shared" si="14"/>
        <v>16212.080999999998</v>
      </c>
      <c r="X14" s="62">
        <f t="shared" si="4"/>
        <v>0.29299999999999998</v>
      </c>
      <c r="Y14" s="60">
        <f t="shared" si="5"/>
        <v>-4750.1397329999991</v>
      </c>
      <c r="Z14" s="60">
        <f t="shared" si="10"/>
        <v>-574.11900000000003</v>
      </c>
      <c r="AA14" s="61">
        <f t="shared" si="15"/>
        <v>0</v>
      </c>
      <c r="AB14" s="59">
        <f t="shared" si="6"/>
        <v>78.526875000000018</v>
      </c>
      <c r="AC14" s="60">
        <f t="shared" si="11"/>
        <v>-132.48900000000003</v>
      </c>
      <c r="AD14" s="60">
        <f t="shared" si="12"/>
        <v>211.01587500000005</v>
      </c>
      <c r="AE14" s="63">
        <f t="shared" si="13"/>
        <v>25.827489187500007</v>
      </c>
      <c r="AF14" s="64"/>
      <c r="AG14" s="65"/>
      <c r="AH14" s="66"/>
      <c r="AI14" s="67">
        <f t="shared" si="7"/>
        <v>-441.63</v>
      </c>
      <c r="AJ14" s="68"/>
    </row>
    <row r="15" spans="1:36" x14ac:dyDescent="0.25">
      <c r="A15" s="102">
        <v>202008</v>
      </c>
      <c r="B15" s="103"/>
      <c r="C15" s="104" t="s">
        <v>55</v>
      </c>
      <c r="D15" s="105"/>
      <c r="E15" s="102" t="s">
        <v>56</v>
      </c>
      <c r="F15" s="106" t="s">
        <v>57</v>
      </c>
      <c r="G15" s="102">
        <v>2642</v>
      </c>
      <c r="H15" s="102">
        <v>8</v>
      </c>
      <c r="I15" s="107" t="str">
        <f t="shared" si="0"/>
        <v/>
      </c>
      <c r="J15" s="108">
        <v>202.11</v>
      </c>
      <c r="K15" s="108">
        <v>152</v>
      </c>
      <c r="L15" s="107">
        <v>34</v>
      </c>
      <c r="M15" s="108">
        <v>16.110000000000014</v>
      </c>
      <c r="N15" s="109">
        <v>2460.4499999999998</v>
      </c>
      <c r="O15" s="107">
        <v>304.89999999999998</v>
      </c>
      <c r="P15" s="107">
        <v>-399.11</v>
      </c>
      <c r="Q15" s="120">
        <f t="shared" si="16"/>
        <v>-518.84300000000007</v>
      </c>
      <c r="R15" s="59">
        <f t="shared" si="8"/>
        <v>2219.4497500000002</v>
      </c>
      <c r="S15" s="60">
        <f t="shared" si="1"/>
        <v>553.07000000000005</v>
      </c>
      <c r="T15" s="60">
        <f t="shared" si="2"/>
        <v>2219.4497500000002</v>
      </c>
      <c r="U15" s="61">
        <f t="shared" si="3"/>
        <v>241.0002499999996</v>
      </c>
      <c r="V15" s="59">
        <f t="shared" si="9"/>
        <v>17220.678500000002</v>
      </c>
      <c r="W15" s="60">
        <f t="shared" si="14"/>
        <v>18431.530749999998</v>
      </c>
      <c r="X15" s="62">
        <f t="shared" si="4"/>
        <v>0.2974</v>
      </c>
      <c r="Y15" s="60">
        <f t="shared" si="5"/>
        <v>-5481.537245049999</v>
      </c>
      <c r="Z15" s="60">
        <f t="shared" si="10"/>
        <v>-518.84300000000007</v>
      </c>
      <c r="AA15" s="61">
        <f t="shared" si="15"/>
        <v>0</v>
      </c>
      <c r="AB15" s="59">
        <f t="shared" si="6"/>
        <v>120.5001249999998</v>
      </c>
      <c r="AC15" s="60">
        <f t="shared" si="11"/>
        <v>-119.73300000000006</v>
      </c>
      <c r="AD15" s="60">
        <f t="shared" si="12"/>
        <v>240.23312499999986</v>
      </c>
      <c r="AE15" s="63">
        <f t="shared" si="13"/>
        <v>39.632491112499935</v>
      </c>
      <c r="AF15" s="64"/>
      <c r="AG15" s="65"/>
      <c r="AH15" s="66"/>
      <c r="AI15" s="67">
        <f t="shared" si="7"/>
        <v>-399.11</v>
      </c>
      <c r="AJ15" s="68"/>
    </row>
    <row r="16" spans="1:36" x14ac:dyDescent="0.25">
      <c r="A16" s="102">
        <v>202009</v>
      </c>
      <c r="B16" s="103"/>
      <c r="C16" s="104" t="s">
        <v>55</v>
      </c>
      <c r="D16" s="105"/>
      <c r="E16" s="102" t="s">
        <v>56</v>
      </c>
      <c r="F16" s="106" t="s">
        <v>57</v>
      </c>
      <c r="G16" s="102">
        <v>10597</v>
      </c>
      <c r="H16" s="102">
        <v>20</v>
      </c>
      <c r="I16" s="107" t="str">
        <f t="shared" si="0"/>
        <v/>
      </c>
      <c r="J16" s="108">
        <v>202.48</v>
      </c>
      <c r="K16" s="108">
        <v>152</v>
      </c>
      <c r="L16" s="107">
        <v>34</v>
      </c>
      <c r="M16" s="108">
        <v>16.47999999999999</v>
      </c>
      <c r="N16" s="109">
        <v>2480.2600000000002</v>
      </c>
      <c r="O16" s="107">
        <v>293.60000000000002</v>
      </c>
      <c r="P16" s="107">
        <v>-394.17</v>
      </c>
      <c r="Q16" s="120">
        <f t="shared" si="16"/>
        <v>-512.42100000000005</v>
      </c>
      <c r="R16" s="59">
        <f t="shared" si="8"/>
        <v>2225.0829999999996</v>
      </c>
      <c r="S16" s="60">
        <f t="shared" si="1"/>
        <v>554.77200000000005</v>
      </c>
      <c r="T16" s="60">
        <f t="shared" si="2"/>
        <v>2225.0829999999996</v>
      </c>
      <c r="U16" s="61">
        <f t="shared" si="3"/>
        <v>255.17700000000059</v>
      </c>
      <c r="V16" s="59">
        <f t="shared" si="9"/>
        <v>19371.550500000001</v>
      </c>
      <c r="W16" s="60">
        <f t="shared" si="14"/>
        <v>20656.613749999997</v>
      </c>
      <c r="X16" s="62">
        <f t="shared" si="4"/>
        <v>0.30070000000000002</v>
      </c>
      <c r="Y16" s="60">
        <f t="shared" si="5"/>
        <v>-6211.4437546249992</v>
      </c>
      <c r="Z16" s="60">
        <f t="shared" si="10"/>
        <v>-512.42100000000005</v>
      </c>
      <c r="AA16" s="61">
        <f t="shared" si="15"/>
        <v>0</v>
      </c>
      <c r="AB16" s="59">
        <f t="shared" si="6"/>
        <v>127.58850000000029</v>
      </c>
      <c r="AC16" s="60">
        <f t="shared" si="11"/>
        <v>-118.25100000000003</v>
      </c>
      <c r="AD16" s="60">
        <f t="shared" si="12"/>
        <v>245.83950000000033</v>
      </c>
      <c r="AE16" s="63">
        <f t="shared" si="13"/>
        <v>41.963857650000101</v>
      </c>
      <c r="AF16" s="64"/>
      <c r="AG16" s="65"/>
      <c r="AH16" s="66"/>
      <c r="AI16" s="67">
        <f t="shared" si="7"/>
        <v>-394.17</v>
      </c>
      <c r="AJ16" s="68"/>
    </row>
    <row r="17" spans="1:36" x14ac:dyDescent="0.25">
      <c r="A17" s="102">
        <v>202010</v>
      </c>
      <c r="B17" s="110"/>
      <c r="C17" s="104" t="s">
        <v>55</v>
      </c>
      <c r="D17" s="111"/>
      <c r="E17" s="102" t="s">
        <v>56</v>
      </c>
      <c r="F17" s="106" t="s">
        <v>57</v>
      </c>
      <c r="G17" s="102">
        <v>9955</v>
      </c>
      <c r="H17" s="102">
        <v>22</v>
      </c>
      <c r="I17" s="107" t="str">
        <f t="shared" si="0"/>
        <v/>
      </c>
      <c r="J17" s="108">
        <v>202.3</v>
      </c>
      <c r="K17" s="108">
        <v>152</v>
      </c>
      <c r="L17" s="107">
        <v>34</v>
      </c>
      <c r="M17" s="108">
        <v>16.300000000000011</v>
      </c>
      <c r="N17" s="109">
        <v>2378.81</v>
      </c>
      <c r="O17" s="107">
        <v>255.22</v>
      </c>
      <c r="P17" s="107">
        <v>-440.42</v>
      </c>
      <c r="Q17" s="120">
        <f t="shared" si="16"/>
        <v>-572.54600000000005</v>
      </c>
      <c r="R17" s="59">
        <f t="shared" si="8"/>
        <v>2222.3425000000002</v>
      </c>
      <c r="S17" s="60">
        <f t="shared" si="1"/>
        <v>526.80599999999993</v>
      </c>
      <c r="T17" s="60">
        <f t="shared" si="2"/>
        <v>2222.3425000000002</v>
      </c>
      <c r="U17" s="61">
        <f t="shared" si="3"/>
        <v>156.46749999999975</v>
      </c>
      <c r="V17" s="59">
        <f t="shared" si="9"/>
        <v>21520.595500000003</v>
      </c>
      <c r="W17" s="60">
        <f t="shared" si="14"/>
        <v>22878.956249999996</v>
      </c>
      <c r="X17" s="62">
        <f t="shared" si="4"/>
        <v>0.30349999999999999</v>
      </c>
      <c r="Y17" s="60">
        <f t="shared" si="5"/>
        <v>-6943.7632218749986</v>
      </c>
      <c r="Z17" s="60">
        <f t="shared" si="10"/>
        <v>-572.54600000000005</v>
      </c>
      <c r="AA17" s="61">
        <f t="shared" si="15"/>
        <v>0</v>
      </c>
      <c r="AB17" s="59">
        <f t="shared" si="6"/>
        <v>78.233749999999873</v>
      </c>
      <c r="AC17" s="60">
        <f t="shared" si="11"/>
        <v>-132.12600000000003</v>
      </c>
      <c r="AD17" s="60">
        <f t="shared" si="12"/>
        <v>210.35974999999991</v>
      </c>
      <c r="AE17" s="63">
        <f t="shared" si="13"/>
        <v>25.731080374999959</v>
      </c>
      <c r="AF17" s="64"/>
      <c r="AG17" s="65"/>
      <c r="AH17" s="66"/>
      <c r="AI17" s="67">
        <f t="shared" si="7"/>
        <v>-440.42</v>
      </c>
      <c r="AJ17" s="68"/>
    </row>
    <row r="18" spans="1:36" x14ac:dyDescent="0.25">
      <c r="A18" s="102">
        <v>202011</v>
      </c>
      <c r="B18" s="103"/>
      <c r="C18" s="104" t="s">
        <v>55</v>
      </c>
      <c r="D18" s="105"/>
      <c r="E18" s="102" t="s">
        <v>56</v>
      </c>
      <c r="F18" s="106" t="s">
        <v>57</v>
      </c>
      <c r="G18" s="102">
        <v>9213</v>
      </c>
      <c r="H18" s="102">
        <v>20</v>
      </c>
      <c r="I18" s="107" t="str">
        <f t="shared" si="0"/>
        <v/>
      </c>
      <c r="J18" s="108">
        <v>202.39</v>
      </c>
      <c r="K18" s="108">
        <v>152</v>
      </c>
      <c r="L18" s="107">
        <v>34</v>
      </c>
      <c r="M18" s="108">
        <v>16.389999999999986</v>
      </c>
      <c r="N18" s="109">
        <v>2380.2800000000002</v>
      </c>
      <c r="O18" s="107">
        <v>296.60000000000002</v>
      </c>
      <c r="P18" s="107">
        <v>-441.15</v>
      </c>
      <c r="Q18" s="120">
        <f t="shared" si="16"/>
        <v>-573.495</v>
      </c>
      <c r="R18" s="59">
        <f t="shared" si="8"/>
        <v>2223.7127499999997</v>
      </c>
      <c r="S18" s="60">
        <f t="shared" si="1"/>
        <v>535.37600000000009</v>
      </c>
      <c r="T18" s="60">
        <f t="shared" si="2"/>
        <v>2223.7127499999997</v>
      </c>
      <c r="U18" s="61">
        <f t="shared" si="3"/>
        <v>156.56725000000051</v>
      </c>
      <c r="V18" s="59">
        <f t="shared" si="9"/>
        <v>23670.554000000004</v>
      </c>
      <c r="W18" s="60">
        <f t="shared" si="14"/>
        <v>25102.668999999994</v>
      </c>
      <c r="X18" s="62">
        <f t="shared" si="4"/>
        <v>0.30570000000000003</v>
      </c>
      <c r="Y18" s="60">
        <f t="shared" si="5"/>
        <v>-7673.8859132999987</v>
      </c>
      <c r="Z18" s="60">
        <f t="shared" si="10"/>
        <v>-573.495</v>
      </c>
      <c r="AA18" s="61">
        <f t="shared" si="15"/>
        <v>0</v>
      </c>
      <c r="AB18" s="59">
        <f t="shared" si="6"/>
        <v>78.283625000000256</v>
      </c>
      <c r="AC18" s="60">
        <f t="shared" si="11"/>
        <v>-132.34500000000003</v>
      </c>
      <c r="AD18" s="60">
        <f t="shared" si="12"/>
        <v>210.62862500000028</v>
      </c>
      <c r="AE18" s="63">
        <f t="shared" si="13"/>
        <v>25.747484262500087</v>
      </c>
      <c r="AF18" s="64"/>
      <c r="AG18" s="65"/>
      <c r="AH18" s="66"/>
      <c r="AI18" s="67">
        <f t="shared" si="7"/>
        <v>-441.15</v>
      </c>
      <c r="AJ18" s="68"/>
    </row>
    <row r="19" spans="1:36" x14ac:dyDescent="0.25">
      <c r="A19" s="102">
        <v>202012</v>
      </c>
      <c r="B19" s="103"/>
      <c r="C19" s="104" t="s">
        <v>55</v>
      </c>
      <c r="D19" s="105"/>
      <c r="E19" s="102" t="s">
        <v>56</v>
      </c>
      <c r="F19" s="106" t="s">
        <v>57</v>
      </c>
      <c r="G19" s="102">
        <v>6143</v>
      </c>
      <c r="H19" s="102">
        <v>14</v>
      </c>
      <c r="I19" s="107" t="str">
        <f t="shared" si="0"/>
        <v/>
      </c>
      <c r="J19" s="108">
        <v>202.03</v>
      </c>
      <c r="K19" s="108">
        <v>152</v>
      </c>
      <c r="L19" s="107">
        <v>34</v>
      </c>
      <c r="M19" s="108">
        <v>16.03</v>
      </c>
      <c r="N19" s="109">
        <v>2490.7399999999998</v>
      </c>
      <c r="O19" s="107">
        <v>322.24</v>
      </c>
      <c r="P19" s="107">
        <v>-688.36</v>
      </c>
      <c r="Q19" s="120">
        <f t="shared" si="16"/>
        <v>-894.86800000000005</v>
      </c>
      <c r="R19" s="59">
        <f t="shared" si="8"/>
        <v>2218.2317499999999</v>
      </c>
      <c r="S19" s="60">
        <f t="shared" si="1"/>
        <v>562.59599999999989</v>
      </c>
      <c r="T19" s="60">
        <f t="shared" si="2"/>
        <v>2250.3839999999996</v>
      </c>
      <c r="U19" s="61">
        <f t="shared" si="3"/>
        <v>240.35600000000022</v>
      </c>
      <c r="V19" s="59">
        <f t="shared" si="9"/>
        <v>25816.858500000002</v>
      </c>
      <c r="W19" s="60">
        <f t="shared" si="14"/>
        <v>27353.052999999993</v>
      </c>
      <c r="X19" s="62">
        <f t="shared" si="4"/>
        <v>0.30659999999999998</v>
      </c>
      <c r="Y19" s="60">
        <f t="shared" si="5"/>
        <v>-8386.4460497999971</v>
      </c>
      <c r="Z19" s="60">
        <f t="shared" si="10"/>
        <v>-712.56013649999841</v>
      </c>
      <c r="AA19" s="61">
        <f t="shared" si="15"/>
        <v>0</v>
      </c>
      <c r="AB19" s="59">
        <f t="shared" si="6"/>
        <v>120.17800000000011</v>
      </c>
      <c r="AC19" s="60">
        <f t="shared" si="11"/>
        <v>-24.200136499998393</v>
      </c>
      <c r="AD19" s="60">
        <f t="shared" si="12"/>
        <v>144.3781364999985</v>
      </c>
      <c r="AE19" s="63">
        <f t="shared" si="13"/>
        <v>39.526544200000039</v>
      </c>
      <c r="AF19" s="64"/>
      <c r="AG19" s="65"/>
      <c r="AH19" s="76">
        <f>N19-U20</f>
        <v>123.96299999999928</v>
      </c>
      <c r="AI19" s="67">
        <f t="shared" si="7"/>
        <v>-688.36</v>
      </c>
      <c r="AJ19" s="77">
        <f>Z20-AI20</f>
        <v>-1333.4121365000001</v>
      </c>
    </row>
    <row r="20" spans="1:36" x14ac:dyDescent="0.25">
      <c r="A20" s="102"/>
      <c r="B20" s="112"/>
      <c r="C20" s="113" t="s">
        <v>58</v>
      </c>
      <c r="D20" s="114"/>
      <c r="E20" s="102"/>
      <c r="F20" s="102"/>
      <c r="G20" s="115">
        <f>SUBTOTAL(9,G8:G19)</f>
        <v>100462</v>
      </c>
      <c r="H20" s="115">
        <f>SUBTOTAL(9,H8:H19)</f>
        <v>210</v>
      </c>
      <c r="I20" s="107">
        <f>IF(OR(G20=0,H20=0),"",IF(C20="Total Y",G20/H20,""))</f>
        <v>478.39047619047619</v>
      </c>
      <c r="J20" s="107">
        <f>SUBTOTAL(9,J8:J19)</f>
        <v>2430.3900000000003</v>
      </c>
      <c r="K20" s="107">
        <f>SUBTOTAL(9,K8:K19)</f>
        <v>1824</v>
      </c>
      <c r="L20" s="107">
        <f>SUBTOTAL(9,L8:L19)</f>
        <v>408</v>
      </c>
      <c r="M20" s="116">
        <f>SUBTOTAL(9,M8:M19)</f>
        <v>198.39</v>
      </c>
      <c r="N20" s="109">
        <f>SUBTOTAL(9,N8:N19)</f>
        <v>29719.83</v>
      </c>
      <c r="O20" s="107">
        <f t="shared" ref="O20:U20" si="17">SUBTOTAL(9,O8:O19)</f>
        <v>3759.5199999999995</v>
      </c>
      <c r="P20" s="107">
        <f t="shared" si="17"/>
        <v>-5052.3999999999996</v>
      </c>
      <c r="Q20" s="120">
        <f t="shared" si="16"/>
        <v>-6568.1200000000017</v>
      </c>
      <c r="R20" s="59">
        <f>SUBTOTAL(9,R8:R19)</f>
        <v>26710.587749999995</v>
      </c>
      <c r="S20" s="60">
        <f t="shared" si="17"/>
        <v>6695.87</v>
      </c>
      <c r="T20" s="60">
        <f t="shared" si="17"/>
        <v>27353.052999999993</v>
      </c>
      <c r="U20" s="61">
        <f t="shared" si="17"/>
        <v>2366.7770000000005</v>
      </c>
      <c r="V20" s="59"/>
      <c r="W20" s="60"/>
      <c r="X20" s="62"/>
      <c r="Y20" s="60"/>
      <c r="Z20" s="60">
        <f t="shared" ref="Z20:AE20" si="18">SUBTOTAL(9,Z8:Z19)</f>
        <v>-6385.8121364999997</v>
      </c>
      <c r="AA20" s="61">
        <f t="shared" si="18"/>
        <v>0</v>
      </c>
      <c r="AB20" s="78">
        <f t="shared" si="18"/>
        <v>1183.3885000000002</v>
      </c>
      <c r="AC20" s="79">
        <f t="shared" si="18"/>
        <v>-1333.4121364999987</v>
      </c>
      <c r="AD20" s="79">
        <f t="shared" si="18"/>
        <v>2516.8006364999987</v>
      </c>
      <c r="AE20" s="79">
        <f t="shared" si="18"/>
        <v>389.21647765000012</v>
      </c>
      <c r="AF20" s="80" t="str">
        <f>IF(AND(O20&lt;0.25*N20,I20&gt;=150,AD20&gt;500,AE20&gt;100),"OUI","NON")</f>
        <v>OUI</v>
      </c>
      <c r="AG20" s="81">
        <f>IF(AF20="non","",AD20)</f>
        <v>2516.8006364999987</v>
      </c>
      <c r="AH20" s="82"/>
      <c r="AI20" s="67">
        <f>SUBTOTAL(9,AI8:AI19)</f>
        <v>-5052.3999999999996</v>
      </c>
      <c r="AJ20" s="77">
        <f>SUBTOTAL(9,AJ8:AJ19)</f>
        <v>-1333.4121365000001</v>
      </c>
    </row>
    <row r="21" spans="1:36" x14ac:dyDescent="0.25">
      <c r="A21" s="102">
        <v>202001</v>
      </c>
      <c r="B21" s="103"/>
      <c r="C21" s="117" t="s">
        <v>59</v>
      </c>
      <c r="D21" s="105"/>
      <c r="E21" s="102" t="s">
        <v>56</v>
      </c>
      <c r="F21" s="102" t="s">
        <v>60</v>
      </c>
      <c r="G21" s="102">
        <v>2000</v>
      </c>
      <c r="H21" s="102">
        <v>18</v>
      </c>
      <c r="I21" s="107" t="str">
        <f t="shared" ref="I21:I32" si="19">IF(OR(G21=0,H21=0),"",IF(C21="Total Y",G21/H21,""))</f>
        <v/>
      </c>
      <c r="J21" s="108">
        <v>202.59</v>
      </c>
      <c r="K21" s="108">
        <v>152</v>
      </c>
      <c r="L21" s="107">
        <v>34</v>
      </c>
      <c r="M21" s="108">
        <v>16.590000000000003</v>
      </c>
      <c r="N21" s="109">
        <v>2369.36</v>
      </c>
      <c r="O21" s="107">
        <v>231.48</v>
      </c>
      <c r="P21" s="107">
        <v>-447.22</v>
      </c>
      <c r="Q21" s="120">
        <f t="shared" si="16"/>
        <v>-581.38600000000008</v>
      </c>
      <c r="R21" s="59">
        <f t="shared" ref="R21:R32" si="20">IF(J21&lt;=152,J21*$D$3,IF(J21&lt;186,152*$D$3+(J21-152)*(1.25*$D$3),(152*$D$3)+34*1.25*$D$3+(J21-186)*1.5*$D$3))</f>
        <v>2226.7577500000002</v>
      </c>
      <c r="S21" s="60">
        <f t="shared" ref="S21:S32" si="21">(N21+O21)*0.2</f>
        <v>520.16800000000001</v>
      </c>
      <c r="T21" s="60">
        <f t="shared" ref="T21:T32" si="22">IF((N21+O21-S21)&gt;R21,N21+O21-S21,R21)</f>
        <v>2226.7577500000002</v>
      </c>
      <c r="U21" s="61">
        <f t="shared" ref="U21:U32" si="23">N21-T21</f>
        <v>142.60224999999991</v>
      </c>
      <c r="V21" s="59">
        <f>IF(F21="GR7",$D$3*K21*45/35+M21*$D$3,$D$3*K21*40/35+M21*$D$3)</f>
        <v>1931.5885000000001</v>
      </c>
      <c r="W21" s="60">
        <f>T21</f>
        <v>2226.7577500000002</v>
      </c>
      <c r="X21" s="62">
        <f t="shared" ref="X21:X32" si="24">IF(A21="","",IF(W21=0,0,MIN(ROUND(((1.6*V21)/W21-1)*($D$4/0.6)*100/90,4),$D$4)))</f>
        <v>0.2331</v>
      </c>
      <c r="Y21" s="60">
        <f t="shared" ref="Y21:Y32" si="25">IF(X21&lt;0,0,-W21*X21)</f>
        <v>-519.05723152500002</v>
      </c>
      <c r="Z21" s="60">
        <f>IF(Y21&gt;0,"",IF(Y21&gt;Q21,Y21,Q21))</f>
        <v>-519.05723152500002</v>
      </c>
      <c r="AA21" s="61">
        <f>IF(Y21&gt;=0,IF(Y21&gt;Q21,Y21,Q21),0)</f>
        <v>0</v>
      </c>
      <c r="AB21" s="59">
        <f t="shared" ref="AB21:AB32" si="26">U21*50%</f>
        <v>71.301124999999956</v>
      </c>
      <c r="AC21" s="60">
        <f>Z21-P21-AA21</f>
        <v>-71.837231524999993</v>
      </c>
      <c r="AD21" s="60">
        <f>AB21-AC21</f>
        <v>143.13835652499995</v>
      </c>
      <c r="AE21" s="63">
        <f>U21*0.16445</f>
        <v>23.450940012499988</v>
      </c>
      <c r="AF21" s="64"/>
      <c r="AG21" s="65"/>
      <c r="AH21" s="82"/>
      <c r="AI21" s="67">
        <f t="shared" ref="AI21:AI32" si="27">P21</f>
        <v>-447.22</v>
      </c>
      <c r="AJ21" s="77"/>
    </row>
    <row r="22" spans="1:36" x14ac:dyDescent="0.25">
      <c r="A22" s="102">
        <v>202002</v>
      </c>
      <c r="B22" s="103"/>
      <c r="C22" s="117" t="s">
        <v>59</v>
      </c>
      <c r="D22" s="105"/>
      <c r="E22" s="102" t="s">
        <v>56</v>
      </c>
      <c r="F22" s="102" t="s">
        <v>60</v>
      </c>
      <c r="G22" s="102">
        <v>2500</v>
      </c>
      <c r="H22" s="102">
        <v>20</v>
      </c>
      <c r="I22" s="107" t="str">
        <f t="shared" si="19"/>
        <v/>
      </c>
      <c r="J22" s="108">
        <v>200</v>
      </c>
      <c r="K22" s="108">
        <v>152</v>
      </c>
      <c r="L22" s="107">
        <v>34</v>
      </c>
      <c r="M22" s="108">
        <v>14</v>
      </c>
      <c r="N22" s="109">
        <v>2327.4</v>
      </c>
      <c r="O22" s="107">
        <v>293.48</v>
      </c>
      <c r="P22" s="107">
        <v>-448.18</v>
      </c>
      <c r="Q22" s="120">
        <f t="shared" si="16"/>
        <v>-582.63400000000001</v>
      </c>
      <c r="R22" s="59">
        <f t="shared" si="20"/>
        <v>2187.3249999999998</v>
      </c>
      <c r="S22" s="60">
        <f t="shared" si="21"/>
        <v>524.17600000000004</v>
      </c>
      <c r="T22" s="60">
        <f t="shared" si="22"/>
        <v>2187.3249999999998</v>
      </c>
      <c r="U22" s="61">
        <f t="shared" si="23"/>
        <v>140.07500000000027</v>
      </c>
      <c r="V22" s="59">
        <f t="shared" ref="V22:V32" si="28">IF(F22="GR7",$D$3*K22*45/35+M22*$D$3,$D$3*K22*40/35+M22*$D$3)+V21</f>
        <v>3836.8885</v>
      </c>
      <c r="W22" s="60">
        <f>T22+W21</f>
        <v>4414.0827499999996</v>
      </c>
      <c r="X22" s="62">
        <f t="shared" si="24"/>
        <v>0.23480000000000001</v>
      </c>
      <c r="Y22" s="60">
        <f t="shared" si="25"/>
        <v>-1036.4266296999999</v>
      </c>
      <c r="Z22" s="60">
        <f t="shared" ref="Z22:Z32" si="29">IF((Y22-Y21)&gt;0,"",IF((Y22-Y21)&gt;Q22,Y22-Y21,Q22))</f>
        <v>-517.3693981749999</v>
      </c>
      <c r="AA22" s="61">
        <f>IF((Y22-Y21)&gt;0,IF((Y22-Y21)&gt;Q22,Y22-Y21,Q22),0)</f>
        <v>0</v>
      </c>
      <c r="AB22" s="59">
        <f t="shared" si="26"/>
        <v>70.037500000000136</v>
      </c>
      <c r="AC22" s="60">
        <f t="shared" ref="AC22:AC32" si="30">Z22-P22-AA22</f>
        <v>-69.189398174999894</v>
      </c>
      <c r="AD22" s="60">
        <f t="shared" ref="AD22:AD32" si="31">AB22-AC22</f>
        <v>139.22689817500003</v>
      </c>
      <c r="AE22" s="63">
        <f t="shared" ref="AE22:AE32" si="32">U22*0.16445</f>
        <v>23.035333750000046</v>
      </c>
      <c r="AF22" s="64"/>
      <c r="AG22" s="65"/>
      <c r="AH22" s="82"/>
      <c r="AI22" s="67">
        <f t="shared" si="27"/>
        <v>-448.18</v>
      </c>
      <c r="AJ22" s="77"/>
    </row>
    <row r="23" spans="1:36" x14ac:dyDescent="0.25">
      <c r="A23" s="102">
        <v>202003</v>
      </c>
      <c r="B23" s="103"/>
      <c r="C23" s="117" t="s">
        <v>59</v>
      </c>
      <c r="D23" s="105"/>
      <c r="E23" s="102" t="s">
        <v>56</v>
      </c>
      <c r="F23" s="102" t="s">
        <v>60</v>
      </c>
      <c r="G23" s="102">
        <v>2000</v>
      </c>
      <c r="H23" s="102">
        <v>20</v>
      </c>
      <c r="I23" s="107" t="str">
        <f t="shared" si="19"/>
        <v/>
      </c>
      <c r="J23" s="108">
        <v>203.42</v>
      </c>
      <c r="K23" s="108">
        <v>152</v>
      </c>
      <c r="L23" s="107">
        <v>34</v>
      </c>
      <c r="M23" s="108">
        <v>17.419999999999987</v>
      </c>
      <c r="N23" s="109">
        <v>2474.8000000000002</v>
      </c>
      <c r="O23" s="107">
        <v>222.02</v>
      </c>
      <c r="P23" s="107">
        <v>-402.82</v>
      </c>
      <c r="Q23" s="120">
        <f t="shared" si="16"/>
        <v>-523.66600000000005</v>
      </c>
      <c r="R23" s="59">
        <f t="shared" si="20"/>
        <v>2239.3944999999999</v>
      </c>
      <c r="S23" s="60">
        <f t="shared" si="21"/>
        <v>539.36400000000003</v>
      </c>
      <c r="T23" s="60">
        <f t="shared" si="22"/>
        <v>2239.3944999999999</v>
      </c>
      <c r="U23" s="61">
        <f t="shared" si="23"/>
        <v>235.4055000000003</v>
      </c>
      <c r="V23" s="59">
        <f t="shared" si="28"/>
        <v>5776.9014999999999</v>
      </c>
      <c r="W23" s="60">
        <f t="shared" ref="W23:W32" si="33">T23+W22</f>
        <v>6653.4772499999999</v>
      </c>
      <c r="X23" s="62">
        <f t="shared" si="24"/>
        <v>0.2339</v>
      </c>
      <c r="Y23" s="60">
        <f t="shared" si="25"/>
        <v>-1556.2483287749999</v>
      </c>
      <c r="Z23" s="60">
        <f t="shared" si="29"/>
        <v>-519.82169907499997</v>
      </c>
      <c r="AA23" s="61">
        <f t="shared" ref="AA23:AA32" si="34">IF((Y23-Y22)&gt;0,IF((Y23-Y22)&gt;Q23,Y23-Y22,Q23),0)</f>
        <v>0</v>
      </c>
      <c r="AB23" s="59">
        <f t="shared" si="26"/>
        <v>117.70275000000015</v>
      </c>
      <c r="AC23" s="60">
        <f t="shared" si="30"/>
        <v>-117.00169907499998</v>
      </c>
      <c r="AD23" s="60">
        <f t="shared" si="31"/>
        <v>234.70444907500013</v>
      </c>
      <c r="AE23" s="63">
        <f t="shared" si="32"/>
        <v>38.712434475000052</v>
      </c>
      <c r="AF23" s="64"/>
      <c r="AG23" s="65"/>
      <c r="AH23" s="82"/>
      <c r="AI23" s="67">
        <f t="shared" si="27"/>
        <v>-402.82</v>
      </c>
      <c r="AJ23" s="77"/>
    </row>
    <row r="24" spans="1:36" x14ac:dyDescent="0.25">
      <c r="A24" s="102">
        <v>202004</v>
      </c>
      <c r="B24" s="103"/>
      <c r="C24" s="117" t="s">
        <v>59</v>
      </c>
      <c r="D24" s="105"/>
      <c r="E24" s="102" t="s">
        <v>56</v>
      </c>
      <c r="F24" s="102" t="s">
        <v>60</v>
      </c>
      <c r="G24" s="102">
        <v>3500</v>
      </c>
      <c r="H24" s="102">
        <v>22</v>
      </c>
      <c r="I24" s="107" t="str">
        <f t="shared" si="19"/>
        <v/>
      </c>
      <c r="J24" s="108">
        <v>204.16</v>
      </c>
      <c r="K24" s="108">
        <v>152</v>
      </c>
      <c r="L24" s="107">
        <v>17</v>
      </c>
      <c r="M24" s="108">
        <v>18.159999999999997</v>
      </c>
      <c r="N24" s="109">
        <v>3096.54</v>
      </c>
      <c r="O24" s="107">
        <v>471.76</v>
      </c>
      <c r="P24" s="107">
        <v>-113.69</v>
      </c>
      <c r="Q24" s="120">
        <f t="shared" si="16"/>
        <v>-147.797</v>
      </c>
      <c r="R24" s="59">
        <f t="shared" si="20"/>
        <v>2250.6610000000001</v>
      </c>
      <c r="S24" s="60">
        <f t="shared" si="21"/>
        <v>713.66000000000008</v>
      </c>
      <c r="T24" s="60">
        <f t="shared" si="22"/>
        <v>2854.6400000000003</v>
      </c>
      <c r="U24" s="61">
        <f t="shared" si="23"/>
        <v>241.89999999999964</v>
      </c>
      <c r="V24" s="59">
        <f t="shared" si="28"/>
        <v>7724.4255000000003</v>
      </c>
      <c r="W24" s="60">
        <f t="shared" si="33"/>
        <v>9508.1172499999993</v>
      </c>
      <c r="X24" s="62">
        <f t="shared" si="24"/>
        <v>0.1802</v>
      </c>
      <c r="Y24" s="60">
        <f t="shared" si="25"/>
        <v>-1713.3627284499998</v>
      </c>
      <c r="Z24" s="60">
        <f t="shared" si="29"/>
        <v>-147.797</v>
      </c>
      <c r="AA24" s="61">
        <f t="shared" si="34"/>
        <v>0</v>
      </c>
      <c r="AB24" s="59">
        <f t="shared" si="26"/>
        <v>120.94999999999982</v>
      </c>
      <c r="AC24" s="60">
        <f t="shared" si="30"/>
        <v>-34.106999999999999</v>
      </c>
      <c r="AD24" s="60">
        <f t="shared" si="31"/>
        <v>155.05699999999982</v>
      </c>
      <c r="AE24" s="63">
        <f t="shared" si="32"/>
        <v>39.780454999999947</v>
      </c>
      <c r="AF24" s="64"/>
      <c r="AG24" s="69"/>
      <c r="AH24" s="83"/>
      <c r="AI24" s="67">
        <f t="shared" si="27"/>
        <v>-113.69</v>
      </c>
      <c r="AJ24" s="84"/>
    </row>
    <row r="25" spans="1:36" x14ac:dyDescent="0.25">
      <c r="A25" s="102">
        <v>202005</v>
      </c>
      <c r="B25" s="103"/>
      <c r="C25" s="117" t="s">
        <v>59</v>
      </c>
      <c r="D25" s="105"/>
      <c r="E25" s="102" t="s">
        <v>56</v>
      </c>
      <c r="F25" s="102" t="s">
        <v>60</v>
      </c>
      <c r="G25" s="102">
        <v>2500</v>
      </c>
      <c r="H25" s="102">
        <v>15</v>
      </c>
      <c r="I25" s="107" t="str">
        <f t="shared" si="19"/>
        <v/>
      </c>
      <c r="J25" s="108">
        <v>203.4</v>
      </c>
      <c r="K25" s="108">
        <v>152</v>
      </c>
      <c r="L25" s="107">
        <v>17</v>
      </c>
      <c r="M25" s="108">
        <v>17.400000000000006</v>
      </c>
      <c r="N25" s="109">
        <v>2396.7399999999998</v>
      </c>
      <c r="O25" s="107">
        <v>410.04</v>
      </c>
      <c r="P25" s="107">
        <v>-440.45</v>
      </c>
      <c r="Q25" s="120">
        <f t="shared" si="16"/>
        <v>-572.58500000000004</v>
      </c>
      <c r="R25" s="59">
        <f t="shared" si="20"/>
        <v>2239.09</v>
      </c>
      <c r="S25" s="60">
        <f t="shared" si="21"/>
        <v>561.35599999999999</v>
      </c>
      <c r="T25" s="60">
        <f t="shared" si="22"/>
        <v>2245.424</v>
      </c>
      <c r="U25" s="61">
        <f t="shared" si="23"/>
        <v>151.3159999999998</v>
      </c>
      <c r="V25" s="59">
        <f t="shared" si="28"/>
        <v>9664.2355000000007</v>
      </c>
      <c r="W25" s="60">
        <f t="shared" si="33"/>
        <v>11753.541249999998</v>
      </c>
      <c r="X25" s="62">
        <f t="shared" si="24"/>
        <v>0.18959999999999999</v>
      </c>
      <c r="Y25" s="60">
        <f t="shared" si="25"/>
        <v>-2228.4714209999997</v>
      </c>
      <c r="Z25" s="60">
        <f t="shared" si="29"/>
        <v>-515.10869254999989</v>
      </c>
      <c r="AA25" s="61">
        <f t="shared" si="34"/>
        <v>0</v>
      </c>
      <c r="AB25" s="59">
        <f t="shared" si="26"/>
        <v>75.657999999999902</v>
      </c>
      <c r="AC25" s="60">
        <f t="shared" si="30"/>
        <v>-74.658692549999898</v>
      </c>
      <c r="AD25" s="60">
        <f t="shared" si="31"/>
        <v>150.3166925499998</v>
      </c>
      <c r="AE25" s="63">
        <f t="shared" si="32"/>
        <v>24.88391619999997</v>
      </c>
      <c r="AF25" s="64"/>
      <c r="AG25" s="65"/>
      <c r="AH25" s="76"/>
      <c r="AI25" s="67">
        <f t="shared" si="27"/>
        <v>-440.45</v>
      </c>
      <c r="AJ25" s="77"/>
    </row>
    <row r="26" spans="1:36" x14ac:dyDescent="0.25">
      <c r="A26" s="102">
        <v>202006</v>
      </c>
      <c r="B26" s="103"/>
      <c r="C26" s="117" t="s">
        <v>59</v>
      </c>
      <c r="D26" s="105"/>
      <c r="E26" s="102" t="s">
        <v>56</v>
      </c>
      <c r="F26" s="102" t="s">
        <v>60</v>
      </c>
      <c r="G26" s="102">
        <v>3400</v>
      </c>
      <c r="H26" s="102">
        <v>13</v>
      </c>
      <c r="I26" s="107" t="str">
        <f t="shared" si="19"/>
        <v/>
      </c>
      <c r="J26" s="108">
        <v>202.66</v>
      </c>
      <c r="K26" s="108">
        <v>152</v>
      </c>
      <c r="L26" s="107">
        <v>17</v>
      </c>
      <c r="M26" s="108">
        <v>16.659999999999997</v>
      </c>
      <c r="N26" s="109">
        <v>2476.6799999999998</v>
      </c>
      <c r="O26" s="107">
        <v>300.38</v>
      </c>
      <c r="P26" s="107">
        <v>-395.2</v>
      </c>
      <c r="Q26" s="120">
        <f t="shared" si="16"/>
        <v>-513.76</v>
      </c>
      <c r="R26" s="59">
        <f t="shared" si="20"/>
        <v>2227.8235</v>
      </c>
      <c r="S26" s="60">
        <f t="shared" si="21"/>
        <v>555.41200000000003</v>
      </c>
      <c r="T26" s="60">
        <f t="shared" si="22"/>
        <v>2227.8235</v>
      </c>
      <c r="U26" s="61">
        <f t="shared" si="23"/>
        <v>248.85649999999987</v>
      </c>
      <c r="V26" s="59">
        <f t="shared" si="28"/>
        <v>11596.534500000002</v>
      </c>
      <c r="W26" s="60">
        <f t="shared" si="33"/>
        <v>13981.364749999999</v>
      </c>
      <c r="X26" s="62">
        <f t="shared" si="24"/>
        <v>0.1966</v>
      </c>
      <c r="Y26" s="60">
        <f t="shared" si="25"/>
        <v>-2748.7363098499995</v>
      </c>
      <c r="Z26" s="60">
        <f t="shared" si="29"/>
        <v>-513.76</v>
      </c>
      <c r="AA26" s="61">
        <f t="shared" si="34"/>
        <v>0</v>
      </c>
      <c r="AB26" s="59">
        <f t="shared" si="26"/>
        <v>124.42824999999993</v>
      </c>
      <c r="AC26" s="60">
        <f t="shared" si="30"/>
        <v>-118.56</v>
      </c>
      <c r="AD26" s="60">
        <f t="shared" si="31"/>
        <v>242.98824999999994</v>
      </c>
      <c r="AE26" s="63">
        <f t="shared" si="32"/>
        <v>40.92445142499998</v>
      </c>
      <c r="AF26" s="64"/>
      <c r="AG26" s="73"/>
      <c r="AH26" s="85"/>
      <c r="AI26" s="67">
        <f t="shared" si="27"/>
        <v>-395.2</v>
      </c>
      <c r="AJ26" s="86"/>
    </row>
    <row r="27" spans="1:36" x14ac:dyDescent="0.25">
      <c r="A27" s="102">
        <v>202007</v>
      </c>
      <c r="B27" s="103"/>
      <c r="C27" s="117" t="s">
        <v>59</v>
      </c>
      <c r="D27" s="105"/>
      <c r="E27" s="102" t="s">
        <v>56</v>
      </c>
      <c r="F27" s="102" t="s">
        <v>60</v>
      </c>
      <c r="G27" s="102">
        <v>2800</v>
      </c>
      <c r="H27" s="102">
        <v>18</v>
      </c>
      <c r="I27" s="107" t="str">
        <f t="shared" si="19"/>
        <v/>
      </c>
      <c r="J27" s="108">
        <v>202.85</v>
      </c>
      <c r="K27" s="108">
        <v>152</v>
      </c>
      <c r="L27" s="107">
        <v>17</v>
      </c>
      <c r="M27" s="108">
        <v>16.849999999999994</v>
      </c>
      <c r="N27" s="109">
        <v>2387.77</v>
      </c>
      <c r="O27" s="107">
        <v>357.8</v>
      </c>
      <c r="P27" s="107">
        <v>-441.63</v>
      </c>
      <c r="Q27" s="120">
        <f t="shared" si="16"/>
        <v>-574.11900000000003</v>
      </c>
      <c r="R27" s="59">
        <f t="shared" si="20"/>
        <v>2230.7162499999999</v>
      </c>
      <c r="S27" s="60">
        <f t="shared" si="21"/>
        <v>549.11400000000003</v>
      </c>
      <c r="T27" s="60">
        <f t="shared" si="22"/>
        <v>2230.7162499999999</v>
      </c>
      <c r="U27" s="61">
        <f t="shared" si="23"/>
        <v>157.05375000000004</v>
      </c>
      <c r="V27" s="59">
        <f t="shared" si="28"/>
        <v>13530.762000000002</v>
      </c>
      <c r="W27" s="60">
        <f t="shared" si="33"/>
        <v>16212.080999999998</v>
      </c>
      <c r="X27" s="62">
        <f t="shared" si="24"/>
        <v>0.20150000000000001</v>
      </c>
      <c r="Y27" s="60">
        <f t="shared" si="25"/>
        <v>-3266.7343215000001</v>
      </c>
      <c r="Z27" s="60">
        <f t="shared" si="29"/>
        <v>-517.99801165000054</v>
      </c>
      <c r="AA27" s="61">
        <f t="shared" si="34"/>
        <v>0</v>
      </c>
      <c r="AB27" s="59">
        <f t="shared" si="26"/>
        <v>78.526875000000018</v>
      </c>
      <c r="AC27" s="60">
        <f t="shared" si="30"/>
        <v>-76.36801165000054</v>
      </c>
      <c r="AD27" s="60">
        <f t="shared" si="31"/>
        <v>154.89488665000056</v>
      </c>
      <c r="AE27" s="63">
        <f t="shared" si="32"/>
        <v>25.827489187500007</v>
      </c>
      <c r="AF27" s="64"/>
      <c r="AG27" s="65"/>
      <c r="AH27" s="82"/>
      <c r="AI27" s="67">
        <f t="shared" si="27"/>
        <v>-441.63</v>
      </c>
      <c r="AJ27" s="77"/>
    </row>
    <row r="28" spans="1:36" x14ac:dyDescent="0.25">
      <c r="A28" s="102">
        <v>202008</v>
      </c>
      <c r="B28" s="103"/>
      <c r="C28" s="117" t="s">
        <v>59</v>
      </c>
      <c r="D28" s="105"/>
      <c r="E28" s="102" t="s">
        <v>56</v>
      </c>
      <c r="F28" s="102" t="s">
        <v>60</v>
      </c>
      <c r="G28" s="102">
        <v>2000</v>
      </c>
      <c r="H28" s="102">
        <v>8</v>
      </c>
      <c r="I28" s="107" t="str">
        <f t="shared" si="19"/>
        <v/>
      </c>
      <c r="J28" s="108">
        <v>202.11</v>
      </c>
      <c r="K28" s="108">
        <v>152</v>
      </c>
      <c r="L28" s="107">
        <v>17</v>
      </c>
      <c r="M28" s="108">
        <v>16.110000000000014</v>
      </c>
      <c r="N28" s="109">
        <v>2460.4499999999998</v>
      </c>
      <c r="O28" s="107">
        <v>304.89999999999998</v>
      </c>
      <c r="P28" s="107">
        <v>-399.11</v>
      </c>
      <c r="Q28" s="120">
        <f t="shared" si="16"/>
        <v>-518.84300000000007</v>
      </c>
      <c r="R28" s="59">
        <f t="shared" si="20"/>
        <v>2219.4497500000002</v>
      </c>
      <c r="S28" s="60">
        <f t="shared" si="21"/>
        <v>553.07000000000005</v>
      </c>
      <c r="T28" s="60">
        <f t="shared" si="22"/>
        <v>2219.4497500000002</v>
      </c>
      <c r="U28" s="61">
        <f t="shared" si="23"/>
        <v>241.0002499999996</v>
      </c>
      <c r="V28" s="59">
        <f t="shared" si="28"/>
        <v>15457.478500000003</v>
      </c>
      <c r="W28" s="60">
        <f t="shared" si="33"/>
        <v>18431.530749999998</v>
      </c>
      <c r="X28" s="62">
        <f t="shared" si="24"/>
        <v>0.2054</v>
      </c>
      <c r="Y28" s="60">
        <f t="shared" si="25"/>
        <v>-3785.8364160499996</v>
      </c>
      <c r="Z28" s="60">
        <f t="shared" si="29"/>
        <v>-518.84300000000007</v>
      </c>
      <c r="AA28" s="61">
        <f t="shared" si="34"/>
        <v>0</v>
      </c>
      <c r="AB28" s="59">
        <f t="shared" si="26"/>
        <v>120.5001249999998</v>
      </c>
      <c r="AC28" s="60">
        <f t="shared" si="30"/>
        <v>-119.73300000000006</v>
      </c>
      <c r="AD28" s="60">
        <f t="shared" si="31"/>
        <v>240.23312499999986</v>
      </c>
      <c r="AE28" s="63">
        <f t="shared" si="32"/>
        <v>39.632491112499935</v>
      </c>
      <c r="AF28" s="64"/>
      <c r="AG28" s="65"/>
      <c r="AH28" s="82"/>
      <c r="AI28" s="67">
        <f t="shared" si="27"/>
        <v>-399.11</v>
      </c>
      <c r="AJ28" s="77"/>
    </row>
    <row r="29" spans="1:36" x14ac:dyDescent="0.25">
      <c r="A29" s="102">
        <v>202009</v>
      </c>
      <c r="B29" s="103"/>
      <c r="C29" s="117" t="s">
        <v>59</v>
      </c>
      <c r="D29" s="105"/>
      <c r="E29" s="102" t="s">
        <v>56</v>
      </c>
      <c r="F29" s="102" t="s">
        <v>60</v>
      </c>
      <c r="G29" s="102">
        <v>2500</v>
      </c>
      <c r="H29" s="102">
        <v>20</v>
      </c>
      <c r="I29" s="107" t="str">
        <f t="shared" si="19"/>
        <v/>
      </c>
      <c r="J29" s="108">
        <v>202.48</v>
      </c>
      <c r="K29" s="108">
        <v>152</v>
      </c>
      <c r="L29" s="107">
        <v>17</v>
      </c>
      <c r="M29" s="108">
        <v>16.47999999999999</v>
      </c>
      <c r="N29" s="109">
        <v>2480.2600000000002</v>
      </c>
      <c r="O29" s="107">
        <v>293.60000000000002</v>
      </c>
      <c r="P29" s="107">
        <v>-394.17</v>
      </c>
      <c r="Q29" s="120">
        <f t="shared" si="16"/>
        <v>-512.42100000000005</v>
      </c>
      <c r="R29" s="59">
        <f t="shared" si="20"/>
        <v>2225.0829999999996</v>
      </c>
      <c r="S29" s="60">
        <f t="shared" si="21"/>
        <v>554.77200000000005</v>
      </c>
      <c r="T29" s="60">
        <f t="shared" si="22"/>
        <v>2225.0829999999996</v>
      </c>
      <c r="U29" s="61">
        <f t="shared" si="23"/>
        <v>255.17700000000059</v>
      </c>
      <c r="V29" s="59">
        <f t="shared" si="28"/>
        <v>17387.950500000003</v>
      </c>
      <c r="W29" s="60">
        <f t="shared" si="33"/>
        <v>20656.613749999997</v>
      </c>
      <c r="X29" s="62">
        <f t="shared" si="24"/>
        <v>0.2084</v>
      </c>
      <c r="Y29" s="60">
        <f t="shared" si="25"/>
        <v>-4304.8383054999995</v>
      </c>
      <c r="Z29" s="60">
        <f t="shared" si="29"/>
        <v>-512.42100000000005</v>
      </c>
      <c r="AA29" s="61">
        <f t="shared" si="34"/>
        <v>0</v>
      </c>
      <c r="AB29" s="59">
        <f t="shared" si="26"/>
        <v>127.58850000000029</v>
      </c>
      <c r="AC29" s="60">
        <f t="shared" si="30"/>
        <v>-118.25100000000003</v>
      </c>
      <c r="AD29" s="60">
        <f t="shared" si="31"/>
        <v>245.83950000000033</v>
      </c>
      <c r="AE29" s="63">
        <f t="shared" si="32"/>
        <v>41.963857650000101</v>
      </c>
      <c r="AF29" s="64"/>
      <c r="AG29" s="65"/>
      <c r="AH29" s="82"/>
      <c r="AI29" s="67">
        <f t="shared" si="27"/>
        <v>-394.17</v>
      </c>
      <c r="AJ29" s="77"/>
    </row>
    <row r="30" spans="1:36" x14ac:dyDescent="0.25">
      <c r="A30" s="102">
        <v>202010</v>
      </c>
      <c r="B30" s="103"/>
      <c r="C30" s="117" t="s">
        <v>59</v>
      </c>
      <c r="D30" s="105"/>
      <c r="E30" s="102" t="s">
        <v>56</v>
      </c>
      <c r="F30" s="102" t="s">
        <v>60</v>
      </c>
      <c r="G30" s="102">
        <v>3200</v>
      </c>
      <c r="H30" s="102">
        <v>22</v>
      </c>
      <c r="I30" s="107" t="str">
        <f t="shared" si="19"/>
        <v/>
      </c>
      <c r="J30" s="108">
        <v>202.3</v>
      </c>
      <c r="K30" s="108">
        <v>152</v>
      </c>
      <c r="L30" s="107">
        <v>17</v>
      </c>
      <c r="M30" s="108">
        <v>16.300000000000011</v>
      </c>
      <c r="N30" s="109">
        <v>2378.81</v>
      </c>
      <c r="O30" s="107">
        <v>255.22</v>
      </c>
      <c r="P30" s="107">
        <v>-440.42</v>
      </c>
      <c r="Q30" s="120">
        <f t="shared" si="16"/>
        <v>-572.54600000000005</v>
      </c>
      <c r="R30" s="59">
        <f t="shared" si="20"/>
        <v>2222.3425000000002</v>
      </c>
      <c r="S30" s="60">
        <f t="shared" si="21"/>
        <v>526.80599999999993</v>
      </c>
      <c r="T30" s="60">
        <f t="shared" si="22"/>
        <v>2222.3425000000002</v>
      </c>
      <c r="U30" s="61">
        <f t="shared" si="23"/>
        <v>156.46749999999975</v>
      </c>
      <c r="V30" s="59">
        <f t="shared" si="28"/>
        <v>19316.595500000003</v>
      </c>
      <c r="W30" s="60">
        <f t="shared" si="33"/>
        <v>22878.956249999996</v>
      </c>
      <c r="X30" s="62">
        <f t="shared" si="24"/>
        <v>0.21079999999999999</v>
      </c>
      <c r="Y30" s="60">
        <f t="shared" si="25"/>
        <v>-4822.8839774999988</v>
      </c>
      <c r="Z30" s="60">
        <f t="shared" si="29"/>
        <v>-518.04567199999929</v>
      </c>
      <c r="AA30" s="61">
        <f t="shared" si="34"/>
        <v>0</v>
      </c>
      <c r="AB30" s="59">
        <f t="shared" si="26"/>
        <v>78.233749999999873</v>
      </c>
      <c r="AC30" s="60">
        <f t="shared" si="30"/>
        <v>-77.62567199999927</v>
      </c>
      <c r="AD30" s="60">
        <f t="shared" si="31"/>
        <v>155.85942199999914</v>
      </c>
      <c r="AE30" s="63">
        <f t="shared" si="32"/>
        <v>25.731080374999959</v>
      </c>
      <c r="AF30" s="64"/>
      <c r="AG30" s="65"/>
      <c r="AH30" s="82"/>
      <c r="AI30" s="67">
        <f t="shared" si="27"/>
        <v>-440.42</v>
      </c>
      <c r="AJ30" s="77"/>
    </row>
    <row r="31" spans="1:36" x14ac:dyDescent="0.25">
      <c r="A31" s="102">
        <v>202011</v>
      </c>
      <c r="B31" s="103"/>
      <c r="C31" s="117" t="s">
        <v>59</v>
      </c>
      <c r="D31" s="105"/>
      <c r="E31" s="102" t="s">
        <v>56</v>
      </c>
      <c r="F31" s="102" t="s">
        <v>60</v>
      </c>
      <c r="G31" s="102">
        <v>2500</v>
      </c>
      <c r="H31" s="102">
        <v>20</v>
      </c>
      <c r="I31" s="107" t="str">
        <f t="shared" si="19"/>
        <v/>
      </c>
      <c r="J31" s="108">
        <v>202.39</v>
      </c>
      <c r="K31" s="108">
        <v>152</v>
      </c>
      <c r="L31" s="107">
        <v>17</v>
      </c>
      <c r="M31" s="108">
        <v>16.389999999999986</v>
      </c>
      <c r="N31" s="109">
        <v>2380.2800000000002</v>
      </c>
      <c r="O31" s="107">
        <v>296.60000000000002</v>
      </c>
      <c r="P31" s="107">
        <v>-441.15</v>
      </c>
      <c r="Q31" s="120">
        <f t="shared" si="16"/>
        <v>-573.495</v>
      </c>
      <c r="R31" s="59">
        <f t="shared" si="20"/>
        <v>2223.7127499999997</v>
      </c>
      <c r="S31" s="60">
        <f t="shared" si="21"/>
        <v>535.37600000000009</v>
      </c>
      <c r="T31" s="60">
        <f t="shared" si="22"/>
        <v>2223.7127499999997</v>
      </c>
      <c r="U31" s="61">
        <f t="shared" si="23"/>
        <v>156.56725000000051</v>
      </c>
      <c r="V31" s="59">
        <f t="shared" si="28"/>
        <v>21246.154000000002</v>
      </c>
      <c r="W31" s="60">
        <f t="shared" si="33"/>
        <v>25102.668999999994</v>
      </c>
      <c r="X31" s="62">
        <f t="shared" si="24"/>
        <v>0.21279999999999999</v>
      </c>
      <c r="Y31" s="60">
        <f t="shared" si="25"/>
        <v>-5341.847963199999</v>
      </c>
      <c r="Z31" s="60">
        <f t="shared" si="29"/>
        <v>-518.96398570000019</v>
      </c>
      <c r="AA31" s="61">
        <f t="shared" si="34"/>
        <v>0</v>
      </c>
      <c r="AB31" s="59">
        <f t="shared" si="26"/>
        <v>78.283625000000256</v>
      </c>
      <c r="AC31" s="60">
        <f t="shared" si="30"/>
        <v>-77.813985700000217</v>
      </c>
      <c r="AD31" s="60">
        <f t="shared" si="31"/>
        <v>156.09761070000047</v>
      </c>
      <c r="AE31" s="63">
        <f t="shared" si="32"/>
        <v>25.747484262500087</v>
      </c>
      <c r="AF31" s="64"/>
      <c r="AG31" s="65"/>
      <c r="AH31" s="82"/>
      <c r="AI31" s="67">
        <f t="shared" si="27"/>
        <v>-441.15</v>
      </c>
      <c r="AJ31" s="77"/>
    </row>
    <row r="32" spans="1:36" x14ac:dyDescent="0.25">
      <c r="A32" s="102">
        <v>202012</v>
      </c>
      <c r="B32" s="103"/>
      <c r="C32" s="117" t="s">
        <v>59</v>
      </c>
      <c r="D32" s="105"/>
      <c r="E32" s="102" t="s">
        <v>56</v>
      </c>
      <c r="F32" s="102" t="s">
        <v>60</v>
      </c>
      <c r="G32" s="102">
        <v>2100</v>
      </c>
      <c r="H32" s="102">
        <v>14</v>
      </c>
      <c r="I32" s="107" t="str">
        <f t="shared" si="19"/>
        <v/>
      </c>
      <c r="J32" s="108">
        <v>202.03</v>
      </c>
      <c r="K32" s="108">
        <v>152</v>
      </c>
      <c r="L32" s="107">
        <v>34</v>
      </c>
      <c r="M32" s="108">
        <v>16.03</v>
      </c>
      <c r="N32" s="109">
        <v>2490.7399999999998</v>
      </c>
      <c r="O32" s="107">
        <v>322.24</v>
      </c>
      <c r="P32" s="107">
        <v>-688.36</v>
      </c>
      <c r="Q32" s="120">
        <f t="shared" si="16"/>
        <v>-894.86800000000005</v>
      </c>
      <c r="R32" s="59">
        <f t="shared" si="20"/>
        <v>2218.2317499999999</v>
      </c>
      <c r="S32" s="60">
        <f t="shared" si="21"/>
        <v>562.59599999999989</v>
      </c>
      <c r="T32" s="60">
        <f t="shared" si="22"/>
        <v>2250.3839999999996</v>
      </c>
      <c r="U32" s="61">
        <f t="shared" si="23"/>
        <v>240.35600000000022</v>
      </c>
      <c r="V32" s="59">
        <f t="shared" si="28"/>
        <v>23172.058500000003</v>
      </c>
      <c r="W32" s="60">
        <f t="shared" si="33"/>
        <v>27353.052999999993</v>
      </c>
      <c r="X32" s="62">
        <f t="shared" si="24"/>
        <v>0.21360000000000001</v>
      </c>
      <c r="Y32" s="60">
        <f t="shared" si="25"/>
        <v>-5842.6121207999986</v>
      </c>
      <c r="Z32" s="60">
        <f t="shared" si="29"/>
        <v>-500.76415759999963</v>
      </c>
      <c r="AA32" s="61">
        <f t="shared" si="34"/>
        <v>0</v>
      </c>
      <c r="AB32" s="59">
        <f t="shared" si="26"/>
        <v>120.17800000000011</v>
      </c>
      <c r="AC32" s="60">
        <f t="shared" si="30"/>
        <v>187.59584240000038</v>
      </c>
      <c r="AD32" s="60">
        <f t="shared" si="31"/>
        <v>-67.417842400000268</v>
      </c>
      <c r="AE32" s="63">
        <f t="shared" si="32"/>
        <v>39.526544200000039</v>
      </c>
      <c r="AF32" s="64"/>
      <c r="AG32" s="65"/>
      <c r="AH32" s="76">
        <f>N32-U33</f>
        <v>123.96299999999928</v>
      </c>
      <c r="AI32" s="67">
        <f t="shared" si="27"/>
        <v>-688.36</v>
      </c>
      <c r="AJ32" s="77">
        <f>Z33-AI33</f>
        <v>-767.54984827500084</v>
      </c>
    </row>
    <row r="33" spans="1:36" ht="15.75" thickBot="1" x14ac:dyDescent="0.3">
      <c r="A33" s="102"/>
      <c r="B33" s="112"/>
      <c r="C33" s="113" t="s">
        <v>61</v>
      </c>
      <c r="D33" s="114"/>
      <c r="E33" s="102"/>
      <c r="F33" s="102"/>
      <c r="G33" s="115">
        <f>SUBTOTAL(9,G21:G32)</f>
        <v>31000</v>
      </c>
      <c r="H33" s="115">
        <f>SUBTOTAL(9,H21:H32)</f>
        <v>210</v>
      </c>
      <c r="I33" s="107">
        <f>IF(OR(G33=0,H33=0),"",IF(C33="Total Z",G33/H33,""))</f>
        <v>147.61904761904762</v>
      </c>
      <c r="J33" s="107">
        <f>SUBTOTAL(9,J21:J32)</f>
        <v>2430.3900000000003</v>
      </c>
      <c r="K33" s="107">
        <f t="shared" ref="K33:L33" si="35">SUBTOTAL(9,K21:K32)</f>
        <v>1824</v>
      </c>
      <c r="L33" s="107">
        <f t="shared" si="35"/>
        <v>272</v>
      </c>
      <c r="M33" s="116">
        <f>SUBTOTAL(9,M21:M32)</f>
        <v>198.39</v>
      </c>
      <c r="N33" s="118">
        <f>SUBTOTAL(9,N21:N32)</f>
        <v>29719.83</v>
      </c>
      <c r="O33" s="119">
        <f t="shared" ref="O33:Q33" si="36">SUBTOTAL(9,O21:O32)</f>
        <v>3759.5199999999995</v>
      </c>
      <c r="P33" s="119">
        <f t="shared" si="36"/>
        <v>-5052.3999999999996</v>
      </c>
      <c r="Q33" s="120">
        <f t="shared" si="16"/>
        <v>-6568.1200000000017</v>
      </c>
      <c r="R33" s="87">
        <f>SUBTOTAL(9,R21:R32)</f>
        <v>26710.587749999995</v>
      </c>
      <c r="S33" s="88">
        <f t="shared" ref="S33:U33" si="37">SUBTOTAL(9,S21:S32)</f>
        <v>6695.87</v>
      </c>
      <c r="T33" s="88">
        <f t="shared" si="37"/>
        <v>27353.052999999993</v>
      </c>
      <c r="U33" s="90">
        <f t="shared" si="37"/>
        <v>2366.7770000000005</v>
      </c>
      <c r="V33" s="87"/>
      <c r="W33" s="88"/>
      <c r="X33" s="89"/>
      <c r="Y33" s="88"/>
      <c r="Z33" s="88">
        <f>SUBTOTAL(9,Z21:Z32)</f>
        <v>-5819.9498482750005</v>
      </c>
      <c r="AA33" s="90">
        <f t="shared" ref="AA33" si="38">SUBTOTAL(9,AA21:AA32)</f>
        <v>0</v>
      </c>
      <c r="AB33" s="91">
        <f>SUBTOTAL(9,AB21:AB32)</f>
        <v>1183.3885000000002</v>
      </c>
      <c r="AC33" s="92">
        <f>SUBTOTAL(9,AC21:AC32)</f>
        <v>-767.54984827499948</v>
      </c>
      <c r="AD33" s="92">
        <f>SUBTOTAL(9,AD21:AD32)</f>
        <v>1950.9383482749995</v>
      </c>
      <c r="AE33" s="92">
        <f t="shared" ref="AE33" si="39">SUBTOTAL(9,AE21:AE32)</f>
        <v>389.21647765000012</v>
      </c>
      <c r="AF33" s="93" t="str">
        <f>IF(AND(O33&lt;0.25*N33,I33&gt;=150,AD33&gt;500,AE33&gt;100),"OUI","NON")</f>
        <v>NON</v>
      </c>
      <c r="AG33" s="94" t="str">
        <f>IF(AF33="non","",AD33)</f>
        <v/>
      </c>
      <c r="AH33" s="95"/>
      <c r="AI33" s="96">
        <f>SUBTOTAL(9,AI21:AI32)</f>
        <v>-5052.3999999999996</v>
      </c>
      <c r="AJ33" s="97">
        <f>SUBTOTAL(9,AJ21:AJ32)</f>
        <v>-767.54984827500084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Inconnu</cp:lastModifiedBy>
  <dcterms:created xsi:type="dcterms:W3CDTF">2015-06-05T18:19:34Z</dcterms:created>
  <dcterms:modified xsi:type="dcterms:W3CDTF">2020-08-04T12:55:53Z</dcterms:modified>
</cp:coreProperties>
</file>