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14520" windowHeight="12855" tabRatio="602" firstSheet="22" activeTab="24"/>
  </bookViews>
  <sheets>
    <sheet name="présentation forex_chemin" sheetId="33" r:id="rId1"/>
    <sheet name="PRÉSENTATION_FOREX_global" sheetId="32" r:id="rId2"/>
    <sheet name="Total" sheetId="18" r:id="rId3"/>
    <sheet name="Table de taux bois" sheetId="30" r:id="rId4"/>
    <sheet name="Table de taux machine" sheetId="31" r:id="rId5"/>
    <sheet name="Abattage" sheetId="1" r:id="rId6"/>
    <sheet name="Débardage" sheetId="4" r:id="rId7"/>
    <sheet name="Ébranchage" sheetId="6" r:id="rId8"/>
    <sheet name="Tronçonage" sheetId="22" r:id="rId9"/>
    <sheet name="Grille Productivité récolte" sheetId="13" r:id="rId10"/>
    <sheet name="Mesurage" sheetId="12" r:id="rId11"/>
    <sheet name="Surveillance Récolte" sheetId="11" r:id="rId12"/>
    <sheet name="Dépenses générales" sheetId="14" r:id="rId13"/>
    <sheet name="Chargement" sheetId="16" r:id="rId14"/>
    <sheet name="Surveillance Transport" sheetId="19" r:id="rId15"/>
    <sheet name="Transport" sheetId="17" r:id="rId16"/>
    <sheet name="Entretient de chemin" sheetId="10" r:id="rId17"/>
    <sheet name="Gravelage" sheetId="9" r:id="rId18"/>
    <sheet name="Construction de chemin" sheetId="8" r:id="rId19"/>
    <sheet name="Suivi Récolte" sheetId="26" r:id="rId20"/>
    <sheet name="Suivi Chemin" sheetId="27" r:id="rId21"/>
    <sheet name="Suivi Transport" sheetId="28" r:id="rId22"/>
    <sheet name="entente chemin_ouest" sheetId="34" r:id="rId23"/>
    <sheet name="entente chemin_est" sheetId="35" r:id="rId24"/>
    <sheet name="tableau bord_coord" sheetId="36" r:id="rId25"/>
  </sheets>
  <externalReferences>
    <externalReference r:id="rId26"/>
  </externalReferences>
  <definedNames>
    <definedName name="_xlnm.Print_Area" localSheetId="0">'présentation forex_chemin'!$A$1:$J$10</definedName>
  </definedNames>
  <calcPr calcId="145621"/>
</workbook>
</file>

<file path=xl/calcChain.xml><?xml version="1.0" encoding="utf-8"?>
<calcChain xmlns="http://schemas.openxmlformats.org/spreadsheetml/2006/main">
  <c r="G12" i="36" l="1"/>
  <c r="G13" i="36" s="1"/>
  <c r="H41" i="36" l="1"/>
  <c r="G41" i="36"/>
  <c r="E41" i="36"/>
  <c r="H31" i="36" l="1"/>
  <c r="H32" i="36"/>
  <c r="H34" i="36"/>
  <c r="H35" i="36"/>
  <c r="H36" i="36"/>
  <c r="H43" i="36"/>
  <c r="H44" i="36"/>
  <c r="H45" i="36"/>
  <c r="H46" i="36"/>
  <c r="H47" i="36"/>
  <c r="H48" i="36"/>
  <c r="H49" i="36"/>
  <c r="H50" i="36"/>
  <c r="H51" i="36"/>
  <c r="H52" i="36"/>
  <c r="H54" i="36"/>
  <c r="H55" i="36"/>
  <c r="G55" i="36"/>
  <c r="G30" i="36"/>
  <c r="H30" i="36" s="1"/>
  <c r="G31" i="36"/>
  <c r="G32" i="36"/>
  <c r="G33" i="36"/>
  <c r="H33" i="36" s="1"/>
  <c r="G34" i="36"/>
  <c r="G35" i="36"/>
  <c r="G36" i="36"/>
  <c r="G37" i="36"/>
  <c r="H37" i="36" s="1"/>
  <c r="G39" i="36"/>
  <c r="H39" i="36" s="1"/>
  <c r="G40" i="36"/>
  <c r="H40" i="36" s="1"/>
  <c r="G42" i="36"/>
  <c r="H42" i="36" s="1"/>
  <c r="G43" i="36"/>
  <c r="G44" i="36"/>
  <c r="G45" i="36"/>
  <c r="G46" i="36"/>
  <c r="G47" i="36"/>
  <c r="G48" i="36"/>
  <c r="G49" i="36"/>
  <c r="G50" i="36"/>
  <c r="G51" i="36"/>
  <c r="G52" i="36"/>
  <c r="G53" i="36"/>
  <c r="H53" i="36" s="1"/>
  <c r="G54" i="36"/>
  <c r="G29" i="36"/>
  <c r="H29" i="36" s="1"/>
  <c r="E38" i="36"/>
  <c r="G38" i="36" s="1"/>
  <c r="H38" i="36" s="1"/>
  <c r="C38" i="36"/>
  <c r="G23" i="36"/>
  <c r="G24" i="36"/>
  <c r="F22" i="36"/>
  <c r="G22" i="36" s="1"/>
  <c r="F23" i="36"/>
  <c r="F24" i="36"/>
  <c r="G19" i="36"/>
  <c r="F21" i="36"/>
  <c r="G21" i="36" s="1"/>
  <c r="F19" i="36"/>
  <c r="F20" i="36"/>
  <c r="G20" i="36" s="1"/>
  <c r="E12" i="36"/>
  <c r="F12" i="36"/>
  <c r="C12" i="36"/>
  <c r="C13" i="36" s="1"/>
  <c r="E9" i="36"/>
  <c r="D6" i="36"/>
  <c r="E6" i="36"/>
  <c r="F6" i="36"/>
  <c r="H6" i="36"/>
  <c r="I6" i="36"/>
  <c r="C6" i="36"/>
  <c r="E13" i="36" l="1"/>
  <c r="F13" i="36"/>
  <c r="D12" i="36"/>
  <c r="D13" i="36" s="1"/>
  <c r="M14" i="35" l="1"/>
  <c r="O14" i="35" l="1"/>
  <c r="P14" i="35" s="1"/>
  <c r="J24" i="35"/>
  <c r="J51" i="35" s="1"/>
  <c r="I24" i="35"/>
  <c r="I51" i="35" s="1"/>
  <c r="E18" i="35"/>
  <c r="H15" i="35"/>
  <c r="H14" i="35"/>
  <c r="H13" i="35"/>
  <c r="H12" i="35"/>
  <c r="H11" i="35"/>
  <c r="H18" i="35" s="1"/>
  <c r="I53" i="35" l="1"/>
  <c r="I54" i="35" s="1"/>
  <c r="H19" i="35" s="1"/>
  <c r="H21" i="35" s="1"/>
  <c r="I11" i="35"/>
  <c r="I12" i="35" s="1"/>
  <c r="I13" i="35" s="1"/>
  <c r="I14" i="35" s="1"/>
  <c r="I15" i="35" s="1"/>
  <c r="E24" i="32"/>
  <c r="F24" i="32"/>
  <c r="G24" i="32"/>
  <c r="D24" i="32"/>
  <c r="C7" i="32"/>
  <c r="D14" i="18"/>
  <c r="E14" i="18"/>
  <c r="F14" i="18"/>
  <c r="G14" i="18"/>
  <c r="B22" i="9"/>
  <c r="B23" i="9" s="1"/>
  <c r="B21" i="9"/>
  <c r="C24" i="9"/>
  <c r="C23" i="9"/>
  <c r="J24" i="34"/>
  <c r="I24" i="34"/>
  <c r="E18" i="34" l="1"/>
  <c r="J51" i="34"/>
  <c r="I51" i="34"/>
  <c r="D51" i="8"/>
  <c r="D52" i="8"/>
  <c r="D53" i="8"/>
  <c r="D54" i="8"/>
  <c r="D55" i="8"/>
  <c r="D56" i="8"/>
  <c r="D57" i="8"/>
  <c r="D50" i="8"/>
  <c r="D36" i="8"/>
  <c r="D37" i="8"/>
  <c r="D38" i="8"/>
  <c r="D39" i="8"/>
  <c r="D40" i="8"/>
  <c r="D41" i="8"/>
  <c r="D42" i="8"/>
  <c r="D43" i="8"/>
  <c r="D44" i="8"/>
  <c r="D45" i="8"/>
  <c r="D46" i="8"/>
  <c r="D47" i="8"/>
  <c r="D48" i="8"/>
  <c r="D49" i="8"/>
  <c r="D33" i="8"/>
  <c r="D34" i="8"/>
  <c r="D35" i="8"/>
  <c r="D32" i="8"/>
  <c r="H12" i="34"/>
  <c r="H13" i="34"/>
  <c r="H14" i="34"/>
  <c r="H15" i="34"/>
  <c r="H11" i="34"/>
  <c r="I11" i="34" s="1"/>
  <c r="I12" i="34" l="1"/>
  <c r="I13" i="34" s="1"/>
  <c r="I53" i="34"/>
  <c r="I54" i="34" s="1"/>
  <c r="I14" i="34"/>
  <c r="I15" i="34" s="1"/>
  <c r="H18" i="34"/>
  <c r="H21" i="34" s="1"/>
  <c r="Q61" i="8"/>
  <c r="Q62" i="8"/>
  <c r="Q63" i="8"/>
  <c r="Q64" i="8"/>
  <c r="Q65" i="8"/>
  <c r="Q66" i="8"/>
  <c r="Q67" i="8"/>
  <c r="Q68" i="8"/>
  <c r="Q69" i="8"/>
  <c r="Q60" i="8"/>
  <c r="O70" i="8"/>
  <c r="O71" i="8" s="1"/>
  <c r="Q71" i="8" s="1"/>
  <c r="I23" i="9"/>
  <c r="R28" i="8"/>
  <c r="Q70" i="8" l="1"/>
  <c r="D6" i="33" l="1"/>
  <c r="B9" i="33" l="1"/>
  <c r="C10" i="33"/>
  <c r="G9" i="33"/>
  <c r="D9" i="33"/>
  <c r="E4" i="33"/>
  <c r="E9" i="33" s="1"/>
  <c r="F4" i="33"/>
  <c r="F9" i="33" s="1"/>
  <c r="G4" i="33"/>
  <c r="D4" i="33"/>
  <c r="D9" i="32" l="1"/>
  <c r="E5" i="32"/>
  <c r="F5" i="32"/>
  <c r="G5" i="32"/>
  <c r="H5" i="32"/>
  <c r="I5" i="32"/>
  <c r="J5" i="32"/>
  <c r="D5" i="32"/>
  <c r="E4" i="32"/>
  <c r="E9" i="32" s="1"/>
  <c r="F4" i="32"/>
  <c r="F9" i="32" s="1"/>
  <c r="G4" i="32"/>
  <c r="G9" i="32" s="1"/>
  <c r="H4" i="32"/>
  <c r="H9" i="32" s="1"/>
  <c r="I4" i="32"/>
  <c r="I9" i="32" s="1"/>
  <c r="J4" i="32"/>
  <c r="J9" i="32" s="1"/>
  <c r="D4" i="32"/>
  <c r="D3" i="32"/>
  <c r="D1" i="32"/>
  <c r="D1" i="33" s="1"/>
  <c r="D6" i="32" l="1"/>
  <c r="H56" i="18"/>
  <c r="I56" i="18"/>
  <c r="J56" i="18"/>
  <c r="K56" i="18"/>
  <c r="P56" i="18"/>
  <c r="Q56" i="18"/>
  <c r="R56" i="18"/>
  <c r="S56" i="18"/>
  <c r="G22" i="16"/>
  <c r="H22" i="16"/>
  <c r="I22" i="16"/>
  <c r="J22" i="16"/>
  <c r="K22" i="16"/>
  <c r="L22" i="16"/>
  <c r="M22" i="16"/>
  <c r="N22" i="16"/>
  <c r="O22" i="16"/>
  <c r="P22" i="16"/>
  <c r="Q22" i="16"/>
  <c r="R22" i="16"/>
  <c r="P50" i="18"/>
  <c r="Q50" i="18"/>
  <c r="R50" i="18"/>
  <c r="S50" i="18"/>
  <c r="H50" i="18"/>
  <c r="I50" i="18"/>
  <c r="J50" i="18"/>
  <c r="K50" i="18"/>
  <c r="D13" i="16"/>
  <c r="E13" i="16"/>
  <c r="F13" i="16"/>
  <c r="G13" i="16"/>
  <c r="H13" i="16"/>
  <c r="I13" i="16"/>
  <c r="J13" i="16"/>
  <c r="K13" i="16"/>
  <c r="L13" i="16"/>
  <c r="M13" i="16"/>
  <c r="N13" i="16"/>
  <c r="O13" i="16"/>
  <c r="P13" i="16"/>
  <c r="Q13" i="16"/>
  <c r="R13" i="16"/>
  <c r="C13" i="16"/>
  <c r="U64" i="18" l="1"/>
  <c r="U41" i="18"/>
  <c r="U42" i="18"/>
  <c r="U43" i="18"/>
  <c r="U30" i="18"/>
  <c r="U33" i="18"/>
  <c r="P66" i="18"/>
  <c r="Q66" i="18"/>
  <c r="R66" i="18"/>
  <c r="P65" i="18"/>
  <c r="Q65" i="18"/>
  <c r="R65" i="18"/>
  <c r="H66" i="18"/>
  <c r="I66" i="18"/>
  <c r="J66" i="18"/>
  <c r="H65" i="18"/>
  <c r="I65" i="18"/>
  <c r="J65" i="18"/>
  <c r="P55" i="18"/>
  <c r="Q55" i="18"/>
  <c r="R55" i="18"/>
  <c r="P53" i="18"/>
  <c r="Q53" i="18"/>
  <c r="R53" i="18"/>
  <c r="P52" i="18"/>
  <c r="Q52" i="18"/>
  <c r="R52" i="18"/>
  <c r="P51" i="18"/>
  <c r="Q51" i="18"/>
  <c r="R51" i="18"/>
  <c r="P49" i="18"/>
  <c r="Q49" i="18"/>
  <c r="R49" i="18"/>
  <c r="P48" i="18"/>
  <c r="Q48" i="18"/>
  <c r="R48" i="18"/>
  <c r="H61" i="18"/>
  <c r="I61" i="18"/>
  <c r="J61" i="18"/>
  <c r="H55" i="18"/>
  <c r="I55" i="18"/>
  <c r="J55" i="18"/>
  <c r="H53" i="18"/>
  <c r="I53" i="18"/>
  <c r="J53" i="18"/>
  <c r="H52" i="18"/>
  <c r="I52" i="18"/>
  <c r="J52" i="18"/>
  <c r="H51" i="18"/>
  <c r="I51" i="18"/>
  <c r="J51" i="18"/>
  <c r="H49" i="18"/>
  <c r="I49" i="18"/>
  <c r="J49" i="18"/>
  <c r="H48" i="18"/>
  <c r="I48" i="18"/>
  <c r="J48" i="18"/>
  <c r="P32" i="18"/>
  <c r="Q32" i="18"/>
  <c r="R32" i="18"/>
  <c r="P31" i="18"/>
  <c r="Q31" i="18"/>
  <c r="R31" i="18"/>
  <c r="P29" i="18"/>
  <c r="Q29" i="18"/>
  <c r="R29" i="18"/>
  <c r="P28" i="18"/>
  <c r="Q28" i="18"/>
  <c r="R28" i="18"/>
  <c r="P27" i="18"/>
  <c r="Q27" i="18"/>
  <c r="R27" i="18"/>
  <c r="P26" i="18"/>
  <c r="Q26" i="18"/>
  <c r="R26" i="18"/>
  <c r="P25" i="18"/>
  <c r="Q25" i="18"/>
  <c r="R25" i="18"/>
  <c r="P24" i="18"/>
  <c r="Q24" i="18"/>
  <c r="R24" i="18"/>
  <c r="P23" i="18"/>
  <c r="Q23" i="18"/>
  <c r="R23" i="18"/>
  <c r="P22" i="18"/>
  <c r="Q22" i="18"/>
  <c r="R22" i="18"/>
  <c r="P21" i="18"/>
  <c r="Q21" i="18"/>
  <c r="R21" i="18"/>
  <c r="H32" i="18"/>
  <c r="I32" i="18"/>
  <c r="J32" i="18"/>
  <c r="H31" i="18"/>
  <c r="I31" i="18"/>
  <c r="J31" i="18"/>
  <c r="H29" i="18"/>
  <c r="I29" i="18"/>
  <c r="J29" i="18"/>
  <c r="H28" i="18"/>
  <c r="I28" i="18"/>
  <c r="J28" i="18"/>
  <c r="H27" i="18"/>
  <c r="I27" i="18"/>
  <c r="J27" i="18"/>
  <c r="H26" i="18"/>
  <c r="I26" i="18"/>
  <c r="J26" i="18"/>
  <c r="H25" i="18"/>
  <c r="I25" i="18"/>
  <c r="J25" i="18"/>
  <c r="H22" i="18"/>
  <c r="I22" i="18"/>
  <c r="J22" i="18"/>
  <c r="H21" i="18"/>
  <c r="I21" i="18"/>
  <c r="J21" i="18"/>
  <c r="P15" i="18"/>
  <c r="Q15" i="18"/>
  <c r="R15" i="18"/>
  <c r="P14" i="18"/>
  <c r="Q14" i="18"/>
  <c r="R14" i="18"/>
  <c r="P13" i="18"/>
  <c r="Q13" i="18"/>
  <c r="R13" i="18"/>
  <c r="P12" i="18"/>
  <c r="Q12" i="18"/>
  <c r="R12" i="18"/>
  <c r="P10" i="18"/>
  <c r="Q10" i="18"/>
  <c r="R10" i="18"/>
  <c r="H15" i="18"/>
  <c r="I15" i="18"/>
  <c r="J15" i="18"/>
  <c r="H14" i="18"/>
  <c r="I14" i="18"/>
  <c r="J14" i="18"/>
  <c r="H13" i="18"/>
  <c r="I13" i="18"/>
  <c r="J13" i="18"/>
  <c r="H12" i="18"/>
  <c r="I12" i="18"/>
  <c r="J12" i="18"/>
  <c r="H34" i="17"/>
  <c r="I34" i="17"/>
  <c r="O8" i="17" s="1"/>
  <c r="J34" i="17"/>
  <c r="H27" i="17"/>
  <c r="I27" i="17"/>
  <c r="J27" i="17"/>
  <c r="H19" i="17"/>
  <c r="I19" i="17"/>
  <c r="G8" i="17" s="1"/>
  <c r="J19" i="17"/>
  <c r="H8" i="17" s="1"/>
  <c r="I17" i="17"/>
  <c r="H12" i="17"/>
  <c r="I12" i="17"/>
  <c r="J12" i="17"/>
  <c r="N6" i="17"/>
  <c r="O6" i="17"/>
  <c r="P6" i="17"/>
  <c r="N5" i="17"/>
  <c r="O5" i="17"/>
  <c r="P5" i="17"/>
  <c r="F6" i="17"/>
  <c r="H16" i="17" s="1"/>
  <c r="G6" i="17"/>
  <c r="I16" i="17" s="1"/>
  <c r="H6" i="17"/>
  <c r="F5" i="17"/>
  <c r="G5" i="17"/>
  <c r="H5" i="17"/>
  <c r="O10" i="16"/>
  <c r="O5" i="16"/>
  <c r="O17" i="16" s="1"/>
  <c r="P5" i="16"/>
  <c r="Q5" i="16"/>
  <c r="O4" i="16"/>
  <c r="P4" i="16"/>
  <c r="P10" i="16" s="1"/>
  <c r="Q4" i="16"/>
  <c r="Q10" i="16" s="1"/>
  <c r="G19" i="16"/>
  <c r="H24" i="32" s="1"/>
  <c r="G14" i="16"/>
  <c r="G10" i="16"/>
  <c r="H10" i="16"/>
  <c r="I10" i="16"/>
  <c r="G5" i="16"/>
  <c r="H5" i="16"/>
  <c r="I5" i="16"/>
  <c r="I17" i="16" s="1"/>
  <c r="G4" i="16"/>
  <c r="H4" i="16"/>
  <c r="I4" i="16"/>
  <c r="G21" i="22"/>
  <c r="H21" i="22"/>
  <c r="I21" i="22"/>
  <c r="G19" i="22"/>
  <c r="H19" i="22"/>
  <c r="I19" i="22"/>
  <c r="H17" i="22"/>
  <c r="G14" i="22"/>
  <c r="H14" i="22"/>
  <c r="G12" i="22"/>
  <c r="H12" i="22"/>
  <c r="I12" i="22"/>
  <c r="G7" i="22"/>
  <c r="G15" i="22" s="1"/>
  <c r="H7" i="22"/>
  <c r="H15" i="22" s="1"/>
  <c r="I7" i="22"/>
  <c r="I17" i="22" s="1"/>
  <c r="G6" i="22"/>
  <c r="H6" i="22"/>
  <c r="I6" i="22"/>
  <c r="G20" i="6"/>
  <c r="H20" i="6"/>
  <c r="I20" i="6"/>
  <c r="G18" i="6"/>
  <c r="H18" i="6"/>
  <c r="I18" i="6"/>
  <c r="G14" i="6"/>
  <c r="G13" i="6"/>
  <c r="G11" i="6"/>
  <c r="H11" i="6"/>
  <c r="I11" i="6"/>
  <c r="G7" i="6"/>
  <c r="G16" i="6" s="1"/>
  <c r="H7" i="6"/>
  <c r="H14" i="6" s="1"/>
  <c r="I7" i="6"/>
  <c r="I16" i="6" s="1"/>
  <c r="G6" i="6"/>
  <c r="H6" i="6"/>
  <c r="I6" i="6"/>
  <c r="I30" i="4"/>
  <c r="G28" i="4"/>
  <c r="I26" i="4"/>
  <c r="I25" i="4"/>
  <c r="G23" i="4"/>
  <c r="H23" i="4"/>
  <c r="I23" i="4"/>
  <c r="J23" i="4"/>
  <c r="J17" i="4"/>
  <c r="J13" i="4"/>
  <c r="J15" i="4"/>
  <c r="H12" i="4"/>
  <c r="G10" i="4"/>
  <c r="H10" i="4"/>
  <c r="I10" i="4"/>
  <c r="G6" i="4"/>
  <c r="G15" i="4" s="1"/>
  <c r="H6" i="4"/>
  <c r="H15" i="4" s="1"/>
  <c r="I6" i="4"/>
  <c r="I13" i="4" s="1"/>
  <c r="G5" i="4"/>
  <c r="H5" i="4"/>
  <c r="I5" i="4"/>
  <c r="F5" i="4"/>
  <c r="O6" i="4"/>
  <c r="G30" i="4" s="1"/>
  <c r="P6" i="4"/>
  <c r="H25" i="4" s="1"/>
  <c r="Q6" i="4"/>
  <c r="I28" i="4" s="1"/>
  <c r="O5" i="4"/>
  <c r="P5" i="4"/>
  <c r="Q5" i="4"/>
  <c r="N5" i="4"/>
  <c r="O6" i="1"/>
  <c r="G26" i="1" s="1"/>
  <c r="P6" i="1"/>
  <c r="H25" i="1" s="1"/>
  <c r="Q6" i="1"/>
  <c r="I30" i="1" s="1"/>
  <c r="N6" i="1"/>
  <c r="O5" i="1"/>
  <c r="P5" i="1"/>
  <c r="Q5" i="1"/>
  <c r="G6" i="1"/>
  <c r="G15" i="1" s="1"/>
  <c r="H6" i="1"/>
  <c r="I6" i="1"/>
  <c r="I13" i="1" s="1"/>
  <c r="G5" i="1"/>
  <c r="H5" i="1"/>
  <c r="I5" i="1"/>
  <c r="G30" i="1"/>
  <c r="H30" i="1"/>
  <c r="G27" i="1"/>
  <c r="G25" i="1"/>
  <c r="G23" i="1"/>
  <c r="H23" i="1"/>
  <c r="I23" i="1"/>
  <c r="G17" i="1"/>
  <c r="H17" i="1"/>
  <c r="H15" i="1"/>
  <c r="G13" i="1"/>
  <c r="H13" i="1"/>
  <c r="H12" i="1"/>
  <c r="G10" i="1"/>
  <c r="H10" i="1"/>
  <c r="I10" i="1"/>
  <c r="J10" i="1"/>
  <c r="J10" i="18"/>
  <c r="I10" i="18"/>
  <c r="H10" i="18"/>
  <c r="I20" i="17" l="1"/>
  <c r="J54" i="18"/>
  <c r="I54" i="18"/>
  <c r="J17" i="17"/>
  <c r="J16" i="17"/>
  <c r="J32" i="17"/>
  <c r="J31" i="17"/>
  <c r="I32" i="17"/>
  <c r="I31" i="17"/>
  <c r="H32" i="17"/>
  <c r="H31" i="17"/>
  <c r="H35" i="17" s="1"/>
  <c r="P8" i="17"/>
  <c r="Q14" i="16"/>
  <c r="Q6" i="16"/>
  <c r="P17" i="16"/>
  <c r="P6" i="16"/>
  <c r="Q19" i="16"/>
  <c r="H19" i="16"/>
  <c r="I24" i="32" s="1"/>
  <c r="H6" i="16"/>
  <c r="G15" i="16"/>
  <c r="G6" i="16"/>
  <c r="O14" i="16"/>
  <c r="O6" i="16"/>
  <c r="I15" i="16"/>
  <c r="I6" i="16"/>
  <c r="H17" i="16"/>
  <c r="P15" i="16"/>
  <c r="O19" i="16"/>
  <c r="I14" i="16"/>
  <c r="H54" i="18"/>
  <c r="F8" i="17"/>
  <c r="R54" i="18"/>
  <c r="H14" i="16"/>
  <c r="Q15" i="16"/>
  <c r="P54" i="18"/>
  <c r="N8" i="17"/>
  <c r="Q54" i="18"/>
  <c r="H17" i="17"/>
  <c r="H20" i="17" s="1"/>
  <c r="R34" i="18"/>
  <c r="Q34" i="18"/>
  <c r="P34" i="18"/>
  <c r="H34" i="18"/>
  <c r="J34" i="18"/>
  <c r="R16" i="18"/>
  <c r="R17" i="18" s="1"/>
  <c r="R18" i="18" s="1"/>
  <c r="R39" i="18" s="1"/>
  <c r="Q16" i="18"/>
  <c r="Q17" i="18" s="1"/>
  <c r="I34" i="18"/>
  <c r="P16" i="18"/>
  <c r="P17" i="18" s="1"/>
  <c r="P18" i="18" s="1"/>
  <c r="P39" i="18" s="1"/>
  <c r="I14" i="6"/>
  <c r="I15" i="22"/>
  <c r="I14" i="22"/>
  <c r="Q17" i="16"/>
  <c r="I13" i="6"/>
  <c r="H30" i="4"/>
  <c r="H16" i="6"/>
  <c r="H27" i="1"/>
  <c r="H13" i="6"/>
  <c r="P19" i="16"/>
  <c r="J16" i="18"/>
  <c r="J17" i="18" s="1"/>
  <c r="J18" i="18" s="1"/>
  <c r="H28" i="4"/>
  <c r="H26" i="4"/>
  <c r="P14" i="16"/>
  <c r="G25" i="4"/>
  <c r="G17" i="22"/>
  <c r="O15" i="16"/>
  <c r="G26" i="4"/>
  <c r="I17" i="4"/>
  <c r="I12" i="4"/>
  <c r="I19" i="16"/>
  <c r="J24" i="32" s="1"/>
  <c r="I15" i="4"/>
  <c r="H17" i="4"/>
  <c r="H15" i="16"/>
  <c r="I16" i="18"/>
  <c r="I17" i="18" s="1"/>
  <c r="H13" i="4"/>
  <c r="H16" i="18"/>
  <c r="H17" i="18" s="1"/>
  <c r="H18" i="18" s="1"/>
  <c r="G12" i="1"/>
  <c r="G17" i="16"/>
  <c r="G13" i="4"/>
  <c r="G17" i="4"/>
  <c r="G12" i="4"/>
  <c r="I27" i="1"/>
  <c r="I26" i="1"/>
  <c r="I25" i="1"/>
  <c r="H26" i="1"/>
  <c r="I15" i="1"/>
  <c r="I12" i="1"/>
  <c r="I17" i="1"/>
  <c r="K19" i="17"/>
  <c r="H39" i="18" l="1"/>
  <c r="H10" i="32"/>
  <c r="J39" i="18"/>
  <c r="J10" i="32"/>
  <c r="J35" i="17"/>
  <c r="J20" i="17"/>
  <c r="I35" i="17"/>
  <c r="Q18" i="18"/>
  <c r="Q39" i="18" s="1"/>
  <c r="I18" i="18"/>
  <c r="K48" i="18"/>
  <c r="I39" i="18" l="1"/>
  <c r="I10" i="32"/>
  <c r="A1" i="31"/>
  <c r="K14" i="14" l="1"/>
  <c r="D9" i="9"/>
  <c r="C6" i="17"/>
  <c r="D6" i="17"/>
  <c r="E6" i="17"/>
  <c r="I6" i="17"/>
  <c r="J6" i="17"/>
  <c r="K6" i="17"/>
  <c r="L6" i="17"/>
  <c r="M6" i="17"/>
  <c r="Q6" i="17"/>
  <c r="K31" i="17" s="1"/>
  <c r="B6" i="17"/>
  <c r="C5" i="17"/>
  <c r="D5" i="17"/>
  <c r="E5" i="17"/>
  <c r="I5" i="17"/>
  <c r="J5" i="17"/>
  <c r="K5" i="17"/>
  <c r="L5" i="17"/>
  <c r="M5" i="17"/>
  <c r="Q5" i="17"/>
  <c r="B5" i="17"/>
  <c r="R6" i="4"/>
  <c r="N6" i="4"/>
  <c r="M6" i="4"/>
  <c r="L6" i="4"/>
  <c r="K6" i="4"/>
  <c r="J6" i="4"/>
  <c r="F6" i="4"/>
  <c r="E6" i="4"/>
  <c r="D6" i="4"/>
  <c r="C6" i="4"/>
  <c r="R5" i="4"/>
  <c r="M5" i="4"/>
  <c r="L5" i="4"/>
  <c r="K5" i="4"/>
  <c r="J5" i="4"/>
  <c r="E5" i="4"/>
  <c r="D5" i="4"/>
  <c r="C5" i="4"/>
  <c r="D6" i="1"/>
  <c r="E6" i="1"/>
  <c r="F6" i="1"/>
  <c r="J6" i="1"/>
  <c r="J17" i="1" s="1"/>
  <c r="K6" i="1"/>
  <c r="L6" i="1"/>
  <c r="M6" i="1"/>
  <c r="R6" i="1"/>
  <c r="C6" i="1"/>
  <c r="D5" i="1"/>
  <c r="E5" i="1"/>
  <c r="F5" i="1"/>
  <c r="J5" i="1"/>
  <c r="K5" i="1"/>
  <c r="L5" i="1"/>
  <c r="M5" i="1"/>
  <c r="N5" i="1"/>
  <c r="R5" i="1"/>
  <c r="C5" i="1"/>
  <c r="C10" i="1"/>
  <c r="D10" i="1"/>
  <c r="E10" i="1"/>
  <c r="F10" i="1"/>
  <c r="M52" i="18"/>
  <c r="N52" i="18"/>
  <c r="O52" i="18"/>
  <c r="S52" i="18"/>
  <c r="L52" i="18"/>
  <c r="E52" i="18"/>
  <c r="F52" i="18"/>
  <c r="G52" i="18"/>
  <c r="K52" i="18"/>
  <c r="D52" i="18"/>
  <c r="K49" i="18"/>
  <c r="M22" i="18"/>
  <c r="N22" i="18"/>
  <c r="O22" i="18"/>
  <c r="S22" i="18"/>
  <c r="L22" i="18"/>
  <c r="M25" i="18"/>
  <c r="N25" i="18"/>
  <c r="O25" i="18"/>
  <c r="S25" i="18"/>
  <c r="L25" i="18"/>
  <c r="F25" i="18"/>
  <c r="G25" i="18"/>
  <c r="D25" i="18"/>
  <c r="M24" i="18"/>
  <c r="N24" i="18"/>
  <c r="O24" i="18"/>
  <c r="S24" i="18"/>
  <c r="L24" i="18"/>
  <c r="M23" i="18"/>
  <c r="N23" i="18"/>
  <c r="O23" i="18"/>
  <c r="S23" i="18"/>
  <c r="L23" i="18"/>
  <c r="E22" i="18"/>
  <c r="F22" i="18"/>
  <c r="G22" i="18"/>
  <c r="K22" i="18"/>
  <c r="D22" i="18"/>
  <c r="M21" i="18"/>
  <c r="N21" i="18"/>
  <c r="O21" i="18"/>
  <c r="S21" i="18"/>
  <c r="L21" i="18"/>
  <c r="E21" i="18"/>
  <c r="F21" i="18"/>
  <c r="G21" i="18"/>
  <c r="K21" i="18"/>
  <c r="D21" i="18"/>
  <c r="K16" i="17" l="1"/>
  <c r="I8" i="17"/>
  <c r="E32" i="17"/>
  <c r="M53" i="18" s="1"/>
  <c r="D17" i="17"/>
  <c r="F32" i="17"/>
  <c r="N53" i="18" s="1"/>
  <c r="U23" i="18"/>
  <c r="U24" i="18"/>
  <c r="U22" i="18"/>
  <c r="U21" i="18"/>
  <c r="D32" i="17"/>
  <c r="L53" i="18" s="1"/>
  <c r="J7" i="17"/>
  <c r="G17" i="17"/>
  <c r="F17" i="17"/>
  <c r="B7" i="17"/>
  <c r="E17" i="17"/>
  <c r="T18" i="4"/>
  <c r="K17" i="17"/>
  <c r="K53" i="18" s="1"/>
  <c r="C7" i="4"/>
  <c r="K32" i="17"/>
  <c r="S53" i="18" s="1"/>
  <c r="G32" i="17"/>
  <c r="O53" i="18" s="1"/>
  <c r="U18" i="4"/>
  <c r="K7" i="4"/>
  <c r="Q15" i="4" s="1"/>
  <c r="C7" i="1"/>
  <c r="P15" i="1" s="1"/>
  <c r="K7" i="1"/>
  <c r="E34" i="17"/>
  <c r="F34" i="17"/>
  <c r="G34" i="17"/>
  <c r="K34" i="17"/>
  <c r="D34" i="17"/>
  <c r="G53" i="18" l="1"/>
  <c r="G25" i="32"/>
  <c r="F53" i="18"/>
  <c r="F25" i="32"/>
  <c r="E53" i="18"/>
  <c r="E25" i="32"/>
  <c r="D53" i="18"/>
  <c r="D25" i="32"/>
  <c r="K20" i="17"/>
  <c r="D35" i="17"/>
  <c r="K35" i="17"/>
  <c r="M8" i="17"/>
  <c r="G31" i="17" s="1"/>
  <c r="G35" i="17" s="1"/>
  <c r="L8" i="17"/>
  <c r="F31" i="17" s="1"/>
  <c r="F35" i="17" s="1"/>
  <c r="M54" i="18"/>
  <c r="K8" i="17"/>
  <c r="E31" i="17" s="1"/>
  <c r="E35" i="17" s="1"/>
  <c r="J8" i="17"/>
  <c r="D31" i="17" s="1"/>
  <c r="Q8" i="17"/>
  <c r="T20" i="4"/>
  <c r="T24" i="4"/>
  <c r="T26" i="4" s="1"/>
  <c r="P26" i="1"/>
  <c r="U18" i="1"/>
  <c r="U24" i="1"/>
  <c r="U26" i="1" s="1"/>
  <c r="P15" i="4"/>
  <c r="P26" i="4" s="1"/>
  <c r="F15" i="4" s="1"/>
  <c r="U20" i="4"/>
  <c r="Q15" i="1"/>
  <c r="Q26" i="1" s="1"/>
  <c r="U24" i="4"/>
  <c r="U26" i="4" s="1"/>
  <c r="Q26" i="4"/>
  <c r="E28" i="4" s="1"/>
  <c r="V24" i="1"/>
  <c r="V18" i="1"/>
  <c r="O17" i="30"/>
  <c r="N17" i="30"/>
  <c r="M17" i="30"/>
  <c r="L17" i="30"/>
  <c r="K17" i="30"/>
  <c r="F15" i="1" l="1"/>
  <c r="D15" i="1"/>
  <c r="D28" i="4"/>
  <c r="C28" i="4"/>
  <c r="J28" i="4"/>
  <c r="F28" i="4"/>
  <c r="E27" i="1"/>
  <c r="J15" i="1"/>
  <c r="C15" i="4"/>
  <c r="E15" i="4"/>
  <c r="E15" i="1"/>
  <c r="C15" i="1"/>
  <c r="D15" i="4"/>
  <c r="F17" i="30"/>
  <c r="G17" i="30"/>
  <c r="E17" i="30"/>
  <c r="D17" i="30"/>
  <c r="C17" i="30"/>
  <c r="A1" i="30"/>
  <c r="J7" i="30"/>
  <c r="K7" i="30"/>
  <c r="I7" i="30"/>
  <c r="D8" i="30"/>
  <c r="E8" i="30"/>
  <c r="C8" i="30"/>
  <c r="D14" i="8"/>
  <c r="D13" i="8"/>
  <c r="D12" i="8"/>
  <c r="D11" i="8"/>
  <c r="D27" i="27"/>
  <c r="D24" i="27"/>
  <c r="D23" i="27"/>
  <c r="D22" i="27"/>
  <c r="D21" i="27"/>
  <c r="D16" i="27"/>
  <c r="F5" i="27"/>
  <c r="E5" i="27"/>
  <c r="D5" i="27"/>
  <c r="C5" i="27"/>
  <c r="V17" i="18"/>
  <c r="F12" i="9" s="1"/>
  <c r="F23" i="8"/>
  <c r="D12" i="27" l="1"/>
  <c r="D13" i="27"/>
  <c r="F13" i="27" s="1"/>
  <c r="G13" i="27" s="1"/>
  <c r="I31" i="8"/>
  <c r="I32" i="8"/>
  <c r="I33" i="8"/>
  <c r="I34" i="8"/>
  <c r="I35" i="8"/>
  <c r="I36" i="8"/>
  <c r="I37" i="8"/>
  <c r="I38" i="8"/>
  <c r="I39" i="8"/>
  <c r="I40" i="8"/>
  <c r="I41" i="8"/>
  <c r="I42" i="8"/>
  <c r="I43" i="8"/>
  <c r="I44" i="8"/>
  <c r="I45" i="8"/>
  <c r="I46" i="8"/>
  <c r="I47" i="8"/>
  <c r="I48" i="8"/>
  <c r="I49" i="8"/>
  <c r="I50" i="8"/>
  <c r="I51" i="8"/>
  <c r="I52" i="8"/>
  <c r="I53" i="8"/>
  <c r="I54" i="8"/>
  <c r="I55" i="8"/>
  <c r="I56" i="8"/>
  <c r="I57" i="8"/>
  <c r="I30" i="8"/>
  <c r="P18" i="8"/>
  <c r="P13" i="8"/>
  <c r="D15" i="8"/>
  <c r="C15" i="8"/>
  <c r="C12" i="8"/>
  <c r="C14" i="8"/>
  <c r="C13" i="8"/>
  <c r="C11" i="8"/>
  <c r="I7" i="8"/>
  <c r="J7" i="8" s="1"/>
  <c r="I6" i="8"/>
  <c r="L14" i="8" s="1"/>
  <c r="I5" i="8"/>
  <c r="J57" i="8"/>
  <c r="J56" i="8"/>
  <c r="J55" i="8"/>
  <c r="J54" i="8"/>
  <c r="J53" i="8"/>
  <c r="J52" i="8"/>
  <c r="J51" i="8"/>
  <c r="J50" i="8"/>
  <c r="J49" i="8"/>
  <c r="J48" i="8"/>
  <c r="J47" i="8"/>
  <c r="J46" i="8"/>
  <c r="J45" i="8"/>
  <c r="J44" i="8"/>
  <c r="J43" i="8"/>
  <c r="J42" i="8"/>
  <c r="J41" i="8"/>
  <c r="J40" i="8"/>
  <c r="J39" i="8"/>
  <c r="J38" i="8"/>
  <c r="J37" i="8"/>
  <c r="J36" i="8"/>
  <c r="J33" i="8"/>
  <c r="J34" i="8"/>
  <c r="J35" i="8"/>
  <c r="J32" i="8"/>
  <c r="L10" i="8" l="1"/>
  <c r="J5" i="8"/>
  <c r="K61" i="8" s="1"/>
  <c r="M61" i="8" s="1"/>
  <c r="K60" i="8"/>
  <c r="M60" i="8" s="1"/>
  <c r="J8" i="8"/>
  <c r="L19" i="8"/>
  <c r="G5" i="27"/>
  <c r="D14" i="27" s="1"/>
  <c r="F14" i="27" s="1"/>
  <c r="G14" i="27" s="1"/>
  <c r="J58" i="8"/>
  <c r="I58" i="8"/>
  <c r="K62" i="8" s="1"/>
  <c r="L20" i="8"/>
  <c r="L22" i="8" s="1"/>
  <c r="M62" i="8" l="1"/>
  <c r="L23" i="8"/>
  <c r="L26" i="8" l="1"/>
  <c r="L29" i="8" s="1"/>
  <c r="K65" i="8" s="1"/>
  <c r="M65" i="8" l="1"/>
  <c r="A1" i="8"/>
  <c r="K8" i="10" l="1"/>
  <c r="E7" i="10" s="1"/>
  <c r="D7" i="10" l="1"/>
  <c r="E14" i="26"/>
  <c r="D6" i="22" l="1"/>
  <c r="E6" i="22"/>
  <c r="F6" i="22"/>
  <c r="J6" i="22"/>
  <c r="D7" i="22"/>
  <c r="E7" i="22"/>
  <c r="F7" i="22"/>
  <c r="J7" i="22"/>
  <c r="C7" i="22"/>
  <c r="C6" i="22"/>
  <c r="K8" i="22"/>
  <c r="P16" i="22" s="1"/>
  <c r="K8" i="6"/>
  <c r="C7" i="6"/>
  <c r="D7" i="6"/>
  <c r="E7" i="6"/>
  <c r="F7" i="6"/>
  <c r="J7" i="6"/>
  <c r="C6" i="6"/>
  <c r="D6" i="6"/>
  <c r="E6" i="6"/>
  <c r="F6" i="6"/>
  <c r="J6" i="6"/>
  <c r="L6" i="26"/>
  <c r="K6" i="26"/>
  <c r="J6" i="26"/>
  <c r="I6" i="26"/>
  <c r="H6" i="26"/>
  <c r="G6" i="26"/>
  <c r="F6" i="26"/>
  <c r="E6" i="26"/>
  <c r="D6" i="26"/>
  <c r="C6" i="26"/>
  <c r="L5" i="26"/>
  <c r="K5" i="26"/>
  <c r="J5" i="26"/>
  <c r="I5" i="26"/>
  <c r="H5" i="26"/>
  <c r="G5" i="26"/>
  <c r="F5" i="26"/>
  <c r="E5" i="26"/>
  <c r="D5" i="26"/>
  <c r="C5" i="26"/>
  <c r="I18" i="19"/>
  <c r="L18" i="11"/>
  <c r="K18" i="11"/>
  <c r="L17" i="12"/>
  <c r="K17" i="12"/>
  <c r="G8" i="26" l="1"/>
  <c r="G9" i="26"/>
  <c r="E17" i="22"/>
  <c r="E15" i="22"/>
  <c r="E14" i="22"/>
  <c r="J8" i="26"/>
  <c r="J9" i="26" s="1"/>
  <c r="C8" i="26"/>
  <c r="C9" i="26" s="1"/>
  <c r="S17" i="6"/>
  <c r="S19" i="6" s="1"/>
  <c r="P15" i="6"/>
  <c r="P25" i="6" s="1"/>
  <c r="S22" i="6"/>
  <c r="S24" i="6" s="1"/>
  <c r="L8" i="26"/>
  <c r="L9" i="26"/>
  <c r="K8" i="26"/>
  <c r="K9" i="26" s="1"/>
  <c r="I8" i="26"/>
  <c r="I9" i="26" s="1"/>
  <c r="H8" i="26"/>
  <c r="H9" i="26" s="1"/>
  <c r="F8" i="26"/>
  <c r="F9" i="26" s="1"/>
  <c r="E8" i="26"/>
  <c r="E9" i="26" s="1"/>
  <c r="D8" i="26"/>
  <c r="D9" i="26" s="1"/>
  <c r="J17" i="22"/>
  <c r="J14" i="22"/>
  <c r="J15" i="22"/>
  <c r="J14" i="6"/>
  <c r="J16" i="6"/>
  <c r="J13" i="6"/>
  <c r="D17" i="22"/>
  <c r="D15" i="22"/>
  <c r="D14" i="22"/>
  <c r="C5" i="16"/>
  <c r="D5" i="16"/>
  <c r="D6" i="16" s="1"/>
  <c r="E5" i="16"/>
  <c r="E6" i="16" s="1"/>
  <c r="F5" i="16"/>
  <c r="F6" i="16" s="1"/>
  <c r="J5" i="16"/>
  <c r="J6" i="16" s="1"/>
  <c r="K5" i="16"/>
  <c r="K6" i="16" s="1"/>
  <c r="L5" i="16"/>
  <c r="L6" i="16" s="1"/>
  <c r="M5" i="16"/>
  <c r="M6" i="16" s="1"/>
  <c r="N5" i="16"/>
  <c r="N6" i="16" s="1"/>
  <c r="R5" i="16"/>
  <c r="R6" i="16" s="1"/>
  <c r="D4" i="16"/>
  <c r="E4" i="16"/>
  <c r="F4" i="16"/>
  <c r="J4" i="16"/>
  <c r="K4" i="16"/>
  <c r="K10" i="16" s="1"/>
  <c r="L4" i="16"/>
  <c r="L10" i="16" s="1"/>
  <c r="M4" i="16"/>
  <c r="M10" i="16" s="1"/>
  <c r="N4" i="16"/>
  <c r="N10" i="16" s="1"/>
  <c r="R4" i="16"/>
  <c r="R10" i="16" s="1"/>
  <c r="C4" i="16"/>
  <c r="F16" i="28"/>
  <c r="S14" i="22"/>
  <c r="S15" i="22" s="1"/>
  <c r="F15" i="22" s="1"/>
  <c r="S13" i="6"/>
  <c r="S14" i="6" s="1"/>
  <c r="F14" i="6" s="1"/>
  <c r="U13" i="4"/>
  <c r="U14" i="4" s="1"/>
  <c r="E26" i="4" s="1"/>
  <c r="T13" i="4"/>
  <c r="T14" i="4" s="1"/>
  <c r="V13" i="1"/>
  <c r="V14" i="1" s="1"/>
  <c r="U13" i="1"/>
  <c r="U14" i="1" s="1"/>
  <c r="D6" i="28"/>
  <c r="D8" i="28" s="1"/>
  <c r="D9" i="28" s="1"/>
  <c r="E6" i="28"/>
  <c r="E8" i="28" s="1"/>
  <c r="E9" i="28" s="1"/>
  <c r="F6" i="28"/>
  <c r="F8" i="28" s="1"/>
  <c r="F9" i="28" s="1"/>
  <c r="G6" i="28"/>
  <c r="G8" i="28" s="1"/>
  <c r="G9" i="28" s="1"/>
  <c r="H6" i="28"/>
  <c r="H8" i="28" s="1"/>
  <c r="H9" i="28" s="1"/>
  <c r="I6" i="28"/>
  <c r="I8" i="28" s="1"/>
  <c r="I9" i="28" s="1"/>
  <c r="J6" i="28"/>
  <c r="J8" i="28" s="1"/>
  <c r="J9" i="28" s="1"/>
  <c r="K6" i="28"/>
  <c r="K8" i="28" s="1"/>
  <c r="K9" i="28" s="1"/>
  <c r="L6" i="28"/>
  <c r="L8" i="28" s="1"/>
  <c r="L9" i="28" s="1"/>
  <c r="C6" i="28"/>
  <c r="C8" i="28" s="1"/>
  <c r="D5" i="28"/>
  <c r="E5" i="28"/>
  <c r="F5" i="28"/>
  <c r="G5" i="28"/>
  <c r="H5" i="28"/>
  <c r="I5" i="28"/>
  <c r="J5" i="28"/>
  <c r="K5" i="28"/>
  <c r="L5" i="28"/>
  <c r="C5" i="28"/>
  <c r="F21" i="27"/>
  <c r="G21" i="27" s="1"/>
  <c r="F22" i="27"/>
  <c r="G22" i="27" s="1"/>
  <c r="F23" i="27"/>
  <c r="G23" i="27" s="1"/>
  <c r="F24" i="27"/>
  <c r="G24" i="27" s="1"/>
  <c r="F25" i="27"/>
  <c r="G25" i="27" s="1"/>
  <c r="F26" i="27"/>
  <c r="G26" i="27" s="1"/>
  <c r="F27" i="27"/>
  <c r="G27" i="27" s="1"/>
  <c r="F28" i="27"/>
  <c r="G28" i="27" s="1"/>
  <c r="F29" i="27"/>
  <c r="G29" i="27" s="1"/>
  <c r="F30" i="27"/>
  <c r="G30" i="27" s="1"/>
  <c r="A1" i="27"/>
  <c r="A1" i="28"/>
  <c r="D20" i="27"/>
  <c r="F20" i="27" s="1"/>
  <c r="G20" i="27" s="1"/>
  <c r="D19" i="27"/>
  <c r="F19" i="27" s="1"/>
  <c r="G19" i="27" s="1"/>
  <c r="F16" i="27"/>
  <c r="G16" i="27" s="1"/>
  <c r="F12" i="27"/>
  <c r="G12" i="27" s="1"/>
  <c r="A1" i="26"/>
  <c r="X11" i="16" l="1"/>
  <c r="C6" i="16"/>
  <c r="S6" i="16"/>
  <c r="C13" i="4"/>
  <c r="F13" i="4"/>
  <c r="J15" i="16"/>
  <c r="J14" i="16"/>
  <c r="J17" i="16"/>
  <c r="C15" i="22"/>
  <c r="F16" i="6"/>
  <c r="E16" i="6"/>
  <c r="D16" i="6"/>
  <c r="C16" i="6"/>
  <c r="C14" i="6"/>
  <c r="D14" i="6"/>
  <c r="E14" i="6"/>
  <c r="J26" i="4"/>
  <c r="D26" i="4"/>
  <c r="C26" i="4"/>
  <c r="F26" i="4"/>
  <c r="E13" i="4"/>
  <c r="D13" i="4"/>
  <c r="J19" i="16"/>
  <c r="P18" i="6"/>
  <c r="P20" i="6" s="1"/>
  <c r="D13" i="1"/>
  <c r="C13" i="1"/>
  <c r="E13" i="1"/>
  <c r="F13" i="1"/>
  <c r="J13" i="1"/>
  <c r="J26" i="1"/>
  <c r="E26" i="1"/>
  <c r="C26" i="1"/>
  <c r="F26" i="1"/>
  <c r="D26" i="1"/>
  <c r="C9" i="28"/>
  <c r="H14" i="28"/>
  <c r="D16" i="26"/>
  <c r="S5" i="16"/>
  <c r="F14" i="28"/>
  <c r="F13" i="6" l="1"/>
  <c r="F18" i="6" s="1"/>
  <c r="E13" i="6"/>
  <c r="C13" i="6"/>
  <c r="C18" i="6" s="1"/>
  <c r="D13" i="6"/>
  <c r="D18" i="6" s="1"/>
  <c r="AA13" i="16"/>
  <c r="X15" i="16"/>
  <c r="AA21" i="16"/>
  <c r="AA24" i="16" s="1"/>
  <c r="F27" i="18"/>
  <c r="G27" i="18"/>
  <c r="M15" i="16"/>
  <c r="AA16" i="16"/>
  <c r="AA18" i="16" s="1"/>
  <c r="J18" i="6"/>
  <c r="E18" i="6"/>
  <c r="I14" i="28"/>
  <c r="X26" i="16" l="1"/>
  <c r="M17" i="16" s="1"/>
  <c r="N50" i="18" s="1"/>
  <c r="X18" i="16"/>
  <c r="X20" i="16" s="1"/>
  <c r="R17" i="16"/>
  <c r="R15" i="16"/>
  <c r="C15" i="16"/>
  <c r="L17" i="16"/>
  <c r="M50" i="18" s="1"/>
  <c r="N17" i="16"/>
  <c r="O50" i="18" s="1"/>
  <c r="L15" i="16"/>
  <c r="N15" i="16"/>
  <c r="F17" i="16"/>
  <c r="K17" i="16"/>
  <c r="L50" i="18" s="1"/>
  <c r="F15" i="16"/>
  <c r="K15" i="16"/>
  <c r="D17" i="16"/>
  <c r="E17" i="16"/>
  <c r="D15" i="16"/>
  <c r="E15" i="16"/>
  <c r="K6" i="14"/>
  <c r="D10" i="14" s="1"/>
  <c r="K7" i="14"/>
  <c r="D11" i="14" s="1"/>
  <c r="K8" i="14"/>
  <c r="D12" i="14" s="1"/>
  <c r="K10" i="14"/>
  <c r="D16" i="14" s="1"/>
  <c r="K11" i="14"/>
  <c r="D17" i="14" s="1"/>
  <c r="K12" i="14"/>
  <c r="D18" i="14" s="1"/>
  <c r="K5" i="14"/>
  <c r="D9" i="14" s="1"/>
  <c r="C17" i="16" l="1"/>
  <c r="A1" i="14"/>
  <c r="E10" i="18" l="1"/>
  <c r="F10" i="18"/>
  <c r="G10" i="18"/>
  <c r="K10" i="18"/>
  <c r="L10" i="18"/>
  <c r="C23" i="4" s="1"/>
  <c r="M10" i="18"/>
  <c r="D23" i="4" s="1"/>
  <c r="N10" i="18"/>
  <c r="E23" i="4" s="1"/>
  <c r="O10" i="18"/>
  <c r="F23" i="4" s="1"/>
  <c r="S10" i="18"/>
  <c r="D10" i="18"/>
  <c r="E27" i="17"/>
  <c r="F27" i="17"/>
  <c r="G27" i="17"/>
  <c r="K27" i="17"/>
  <c r="D27" i="17"/>
  <c r="E12" i="17"/>
  <c r="F12" i="17"/>
  <c r="G12" i="17"/>
  <c r="K12" i="17"/>
  <c r="D12" i="17"/>
  <c r="D10" i="16"/>
  <c r="E10" i="16"/>
  <c r="F10" i="16"/>
  <c r="J10" i="16"/>
  <c r="C10" i="16"/>
  <c r="D12" i="22"/>
  <c r="E12" i="22"/>
  <c r="F12" i="22"/>
  <c r="J12" i="22"/>
  <c r="C12" i="22"/>
  <c r="D11" i="6"/>
  <c r="E11" i="6"/>
  <c r="F11" i="6"/>
  <c r="J11" i="6"/>
  <c r="C11" i="6"/>
  <c r="D10" i="4"/>
  <c r="E10" i="4"/>
  <c r="F10" i="4"/>
  <c r="J10" i="4"/>
  <c r="C10" i="4"/>
  <c r="D23" i="1"/>
  <c r="E23" i="1"/>
  <c r="F23" i="1"/>
  <c r="J23" i="1"/>
  <c r="C23" i="1"/>
  <c r="V57" i="18"/>
  <c r="V35" i="18"/>
  <c r="H57" i="18" l="1"/>
  <c r="P57" i="18"/>
  <c r="P58" i="18" s="1"/>
  <c r="P61" i="18" s="1"/>
  <c r="I57" i="18"/>
  <c r="R57" i="18"/>
  <c r="R58" i="18" s="1"/>
  <c r="R61" i="18" s="1"/>
  <c r="J57" i="18"/>
  <c r="Q57" i="18"/>
  <c r="Q58" i="18" s="1"/>
  <c r="Q61" i="18" s="1"/>
  <c r="H35" i="18"/>
  <c r="H36" i="18" s="1"/>
  <c r="Q35" i="18"/>
  <c r="Q36" i="18" s="1"/>
  <c r="Q40" i="18" s="1"/>
  <c r="Q44" i="18" s="1"/>
  <c r="Q60" i="18" s="1"/>
  <c r="P35" i="18"/>
  <c r="P36" i="18" s="1"/>
  <c r="P40" i="18" s="1"/>
  <c r="P44" i="18" s="1"/>
  <c r="P60" i="18" s="1"/>
  <c r="I35" i="18"/>
  <c r="I36" i="18" s="1"/>
  <c r="R35" i="18"/>
  <c r="R36" i="18" s="1"/>
  <c r="R40" i="18" s="1"/>
  <c r="R44" i="18" s="1"/>
  <c r="R60" i="18" s="1"/>
  <c r="J35" i="18"/>
  <c r="J36" i="18" s="1"/>
  <c r="F10" i="10"/>
  <c r="E20" i="14"/>
  <c r="L21" i="17"/>
  <c r="S20" i="16"/>
  <c r="L36" i="17"/>
  <c r="D14" i="19"/>
  <c r="I20" i="13"/>
  <c r="S23" i="22"/>
  <c r="S25" i="22" s="1"/>
  <c r="S18" i="22"/>
  <c r="S20" i="22" s="1"/>
  <c r="P19" i="22"/>
  <c r="A1" i="22"/>
  <c r="H40" i="18" l="1"/>
  <c r="H44" i="18" s="1"/>
  <c r="H60" i="18" s="1"/>
  <c r="H13" i="32"/>
  <c r="H16" i="32" s="1"/>
  <c r="H17" i="32" s="1"/>
  <c r="J40" i="18"/>
  <c r="J44" i="18" s="1"/>
  <c r="J60" i="18" s="1"/>
  <c r="J13" i="32"/>
  <c r="J16" i="32" s="1"/>
  <c r="J17" i="32" s="1"/>
  <c r="I40" i="18"/>
  <c r="I44" i="18" s="1"/>
  <c r="I60" i="18" s="1"/>
  <c r="I13" i="32"/>
  <c r="I16" i="32" s="1"/>
  <c r="I17" i="32" s="1"/>
  <c r="Q20" i="16"/>
  <c r="Q21" i="16" s="1"/>
  <c r="H20" i="16"/>
  <c r="H21" i="16" s="1"/>
  <c r="G20" i="16"/>
  <c r="G21" i="16" s="1"/>
  <c r="I20" i="16"/>
  <c r="I21" i="16" s="1"/>
  <c r="P20" i="16"/>
  <c r="P21" i="16" s="1"/>
  <c r="O20" i="16"/>
  <c r="O21" i="16" s="1"/>
  <c r="I36" i="17"/>
  <c r="I37" i="17" s="1"/>
  <c r="I38" i="17" s="1"/>
  <c r="J36" i="17"/>
  <c r="J37" i="17" s="1"/>
  <c r="J38" i="17" s="1"/>
  <c r="H36" i="17"/>
  <c r="H37" i="17" s="1"/>
  <c r="H38" i="17" s="1"/>
  <c r="H21" i="17"/>
  <c r="H22" i="17" s="1"/>
  <c r="J21" i="17"/>
  <c r="J22" i="17" s="1"/>
  <c r="I21" i="17"/>
  <c r="I22" i="17" s="1"/>
  <c r="P21" i="22"/>
  <c r="F14" i="11"/>
  <c r="F11" i="12"/>
  <c r="K18" i="1"/>
  <c r="K19" i="6"/>
  <c r="K18" i="4"/>
  <c r="K20" i="22"/>
  <c r="K31" i="4"/>
  <c r="K31" i="1"/>
  <c r="M55" i="18"/>
  <c r="N55" i="18"/>
  <c r="O55" i="18"/>
  <c r="S55" i="18"/>
  <c r="L55" i="18"/>
  <c r="N54" i="18"/>
  <c r="O54" i="18"/>
  <c r="S54" i="18"/>
  <c r="L54" i="18"/>
  <c r="E55" i="18"/>
  <c r="F55" i="18"/>
  <c r="G55" i="18"/>
  <c r="K55" i="18"/>
  <c r="D55" i="18"/>
  <c r="K54" i="18"/>
  <c r="I23" i="17" l="1"/>
  <c r="I25" i="32"/>
  <c r="I26" i="32" s="1"/>
  <c r="J23" i="17"/>
  <c r="J25" i="32"/>
  <c r="J26" i="32" s="1"/>
  <c r="H23" i="17"/>
  <c r="H25" i="32"/>
  <c r="H26" i="32" s="1"/>
  <c r="G18" i="1"/>
  <c r="G19" i="1" s="1"/>
  <c r="H18" i="1"/>
  <c r="H19" i="1" s="1"/>
  <c r="I18" i="1"/>
  <c r="I19" i="1" s="1"/>
  <c r="I31" i="1"/>
  <c r="I32" i="1" s="1"/>
  <c r="H31" i="1"/>
  <c r="H32" i="1" s="1"/>
  <c r="G31" i="1"/>
  <c r="G32" i="1" s="1"/>
  <c r="I31" i="4"/>
  <c r="I32" i="4" s="1"/>
  <c r="G31" i="4"/>
  <c r="G32" i="4" s="1"/>
  <c r="H31" i="4"/>
  <c r="H32" i="4" s="1"/>
  <c r="H20" i="22"/>
  <c r="I20" i="22"/>
  <c r="G20" i="22"/>
  <c r="J18" i="4"/>
  <c r="J19" i="4" s="1"/>
  <c r="H18" i="4"/>
  <c r="H19" i="4" s="1"/>
  <c r="G18" i="4"/>
  <c r="G19" i="4" s="1"/>
  <c r="I18" i="4"/>
  <c r="I19" i="4" s="1"/>
  <c r="I19" i="6"/>
  <c r="H19" i="6"/>
  <c r="G19" i="6"/>
  <c r="F14" i="22"/>
  <c r="C14" i="22"/>
  <c r="G36" i="17"/>
  <c r="D36" i="17" l="1"/>
  <c r="D37" i="17" s="1"/>
  <c r="D38" i="17" s="1"/>
  <c r="K36" i="17"/>
  <c r="K37" i="17" s="1"/>
  <c r="K38" i="17" s="1"/>
  <c r="E36" i="17"/>
  <c r="E37" i="17" s="1"/>
  <c r="E38" i="17" s="1"/>
  <c r="F36" i="17"/>
  <c r="F37" i="17" s="1"/>
  <c r="F38" i="17" s="1"/>
  <c r="G37" i="17"/>
  <c r="G38" i="17" s="1"/>
  <c r="E19" i="17" l="1"/>
  <c r="F19" i="17"/>
  <c r="G19" i="17"/>
  <c r="D19" i="17"/>
  <c r="B8" i="17" s="1"/>
  <c r="D16" i="17" s="1"/>
  <c r="A1" i="17"/>
  <c r="D20" i="17" l="1"/>
  <c r="D50" i="18"/>
  <c r="E8" i="17"/>
  <c r="G16" i="17" s="1"/>
  <c r="D8" i="17"/>
  <c r="F16" i="17" s="1"/>
  <c r="C8" i="17"/>
  <c r="E16" i="17" s="1"/>
  <c r="G54" i="18"/>
  <c r="F54" i="18"/>
  <c r="E54" i="18"/>
  <c r="D54" i="18"/>
  <c r="K21" i="17"/>
  <c r="A1" i="16"/>
  <c r="A1" i="10"/>
  <c r="A1" i="9"/>
  <c r="A1" i="11"/>
  <c r="A1" i="12"/>
  <c r="A1" i="6"/>
  <c r="A1" i="4"/>
  <c r="A1" i="1"/>
  <c r="D6" i="18"/>
  <c r="L6" i="18"/>
  <c r="G20" i="17" l="1"/>
  <c r="G50" i="18"/>
  <c r="F20" i="17"/>
  <c r="F50" i="18"/>
  <c r="E20" i="17"/>
  <c r="E50" i="18"/>
  <c r="U50" i="18" s="1"/>
  <c r="D21" i="17"/>
  <c r="D22" i="17" s="1"/>
  <c r="G5" i="11"/>
  <c r="G5" i="12"/>
  <c r="H5" i="12"/>
  <c r="H5" i="11"/>
  <c r="K7" i="22"/>
  <c r="K7" i="6"/>
  <c r="K22" i="17"/>
  <c r="K23" i="17" s="1"/>
  <c r="D7" i="18"/>
  <c r="T50" i="18" l="1"/>
  <c r="D23" i="17"/>
  <c r="T64" i="18"/>
  <c r="T55" i="18"/>
  <c r="T41" i="18"/>
  <c r="T30" i="18"/>
  <c r="T42" i="18"/>
  <c r="T23" i="18"/>
  <c r="T43" i="18"/>
  <c r="T54" i="18"/>
  <c r="T33" i="18"/>
  <c r="T24" i="18"/>
  <c r="T52" i="18"/>
  <c r="T53" i="18"/>
  <c r="T22" i="18"/>
  <c r="T21" i="18"/>
  <c r="H5" i="10"/>
  <c r="P26" i="22"/>
  <c r="E21" i="17"/>
  <c r="E22" i="17" s="1"/>
  <c r="F21" i="17"/>
  <c r="F22" i="17" s="1"/>
  <c r="G21" i="17"/>
  <c r="G22" i="17" s="1"/>
  <c r="D14" i="26"/>
  <c r="F14" i="26" s="1"/>
  <c r="G14" i="26" s="1"/>
  <c r="F4" i="14"/>
  <c r="E4" i="19"/>
  <c r="G23" i="17" l="1"/>
  <c r="F23" i="17"/>
  <c r="E23" i="17"/>
  <c r="F17" i="22"/>
  <c r="F19" i="22" s="1"/>
  <c r="C17" i="22"/>
  <c r="C19" i="22" s="1"/>
  <c r="D19" i="22"/>
  <c r="E19" i="22"/>
  <c r="J19" i="22"/>
  <c r="E11" i="8"/>
  <c r="P15" i="8"/>
  <c r="D17" i="27" s="1"/>
  <c r="F17" i="27" s="1"/>
  <c r="G17" i="27" s="1"/>
  <c r="P20" i="8"/>
  <c r="D18" i="27" s="1"/>
  <c r="F18" i="27" s="1"/>
  <c r="G18" i="27" s="1"/>
  <c r="E13" i="8"/>
  <c r="P10" i="8"/>
  <c r="E15" i="8"/>
  <c r="P31" i="8"/>
  <c r="E21" i="8" s="1"/>
  <c r="E14" i="8"/>
  <c r="E12" i="8"/>
  <c r="E16" i="8"/>
  <c r="G13" i="18" s="1"/>
  <c r="P25" i="8"/>
  <c r="E19" i="8" s="1"/>
  <c r="K66" i="8" s="1"/>
  <c r="K9" i="14"/>
  <c r="D15" i="14" s="1"/>
  <c r="D14" i="14"/>
  <c r="K13" i="14"/>
  <c r="D13" i="14" s="1"/>
  <c r="E17" i="8" l="1"/>
  <c r="R10" i="8"/>
  <c r="K64" i="8" s="1"/>
  <c r="M64" i="8" s="1"/>
  <c r="M66" i="8"/>
  <c r="D19" i="14"/>
  <c r="G32" i="18" s="1"/>
  <c r="E22" i="8"/>
  <c r="E23" i="8" s="1"/>
  <c r="E24" i="8" s="1"/>
  <c r="G12" i="18"/>
  <c r="F15" i="18"/>
  <c r="G15" i="18"/>
  <c r="F12" i="18"/>
  <c r="E13" i="18"/>
  <c r="F13" i="18"/>
  <c r="E15" i="18"/>
  <c r="E12" i="18"/>
  <c r="S13" i="18"/>
  <c r="D13" i="18"/>
  <c r="D15" i="18"/>
  <c r="D12" i="18"/>
  <c r="S15" i="18"/>
  <c r="S12" i="18"/>
  <c r="M13" i="18"/>
  <c r="N13" i="18"/>
  <c r="K13" i="18"/>
  <c r="O13" i="18"/>
  <c r="L13" i="18"/>
  <c r="K15" i="18"/>
  <c r="O15" i="18"/>
  <c r="M15" i="18"/>
  <c r="N15" i="18"/>
  <c r="L15" i="18"/>
  <c r="N12" i="18"/>
  <c r="K12" i="18"/>
  <c r="O12" i="18"/>
  <c r="L12" i="18"/>
  <c r="M12" i="18"/>
  <c r="J20" i="22"/>
  <c r="J21" i="22" s="1"/>
  <c r="C20" i="22"/>
  <c r="C21" i="22" s="1"/>
  <c r="E20" i="22"/>
  <c r="E21" i="22" s="1"/>
  <c r="F20" i="22"/>
  <c r="F21" i="22" s="1"/>
  <c r="F18" i="28"/>
  <c r="H18" i="28" s="1"/>
  <c r="I18" i="28" s="1"/>
  <c r="F17" i="28"/>
  <c r="U15" i="18" l="1"/>
  <c r="T15" i="18"/>
  <c r="T13" i="18"/>
  <c r="U13" i="18"/>
  <c r="T12" i="18"/>
  <c r="U12" i="18"/>
  <c r="D20" i="22"/>
  <c r="D21" i="22" s="1"/>
  <c r="E32" i="18"/>
  <c r="F32" i="18"/>
  <c r="S32" i="18"/>
  <c r="D32" i="18"/>
  <c r="D20" i="14"/>
  <c r="D21" i="14" s="1"/>
  <c r="L32" i="18"/>
  <c r="M32" i="18"/>
  <c r="N32" i="18"/>
  <c r="K32" i="18"/>
  <c r="O32" i="18"/>
  <c r="H16" i="28"/>
  <c r="I16" i="28" s="1"/>
  <c r="I5" i="19"/>
  <c r="H17" i="28"/>
  <c r="I17" i="28" s="1"/>
  <c r="H20" i="13"/>
  <c r="L16" i="9"/>
  <c r="U32" i="18" l="1"/>
  <c r="T32" i="18"/>
  <c r="M14" i="16"/>
  <c r="M19" i="16" s="1"/>
  <c r="N48" i="18" s="1"/>
  <c r="L5" i="19"/>
  <c r="L8" i="19" s="1"/>
  <c r="C10" i="19" s="1"/>
  <c r="I14" i="19"/>
  <c r="I16" i="19" s="1"/>
  <c r="I19" i="19" s="1"/>
  <c r="C9" i="19" s="1"/>
  <c r="I8" i="19"/>
  <c r="K25" i="18"/>
  <c r="E25" i="18"/>
  <c r="U25" i="18" l="1"/>
  <c r="T25" i="18"/>
  <c r="R14" i="16"/>
  <c r="R19" i="16" s="1"/>
  <c r="S48" i="18" s="1"/>
  <c r="C14" i="16"/>
  <c r="C19" i="16" s="1"/>
  <c r="K14" i="16"/>
  <c r="K19" i="16" s="1"/>
  <c r="L48" i="18" s="1"/>
  <c r="N14" i="16"/>
  <c r="N19" i="16" s="1"/>
  <c r="O48" i="18" s="1"/>
  <c r="E14" i="16"/>
  <c r="E19" i="16" s="1"/>
  <c r="D14" i="16"/>
  <c r="D19" i="16" s="1"/>
  <c r="L14" i="16"/>
  <c r="L19" i="16" s="1"/>
  <c r="M48" i="18" s="1"/>
  <c r="F14" i="16"/>
  <c r="F19" i="16" s="1"/>
  <c r="M20" i="16"/>
  <c r="M21" i="16" s="1"/>
  <c r="F15" i="28"/>
  <c r="H15" i="28" s="1"/>
  <c r="I15" i="28" s="1"/>
  <c r="I10" i="19"/>
  <c r="C12" i="19" s="1"/>
  <c r="C13" i="19" s="1"/>
  <c r="J20" i="16"/>
  <c r="J21" i="16" s="1"/>
  <c r="E6" i="10"/>
  <c r="D9" i="10" s="1"/>
  <c r="V26" i="1"/>
  <c r="D18" i="26" s="1"/>
  <c r="F18" i="26" s="1"/>
  <c r="G18" i="26" s="1"/>
  <c r="V20" i="1"/>
  <c r="G48" i="18" l="1"/>
  <c r="G26" i="32"/>
  <c r="F48" i="18"/>
  <c r="F26" i="32"/>
  <c r="E48" i="18"/>
  <c r="E26" i="32"/>
  <c r="D48" i="18"/>
  <c r="D26" i="32"/>
  <c r="C20" i="16"/>
  <c r="C21" i="16" s="1"/>
  <c r="C22" i="16" s="1"/>
  <c r="R20" i="16"/>
  <c r="R21" i="16" s="1"/>
  <c r="D49" i="18"/>
  <c r="N49" i="18"/>
  <c r="K20" i="16"/>
  <c r="K21" i="16" s="1"/>
  <c r="N20" i="16"/>
  <c r="N21" i="16" s="1"/>
  <c r="E20" i="16"/>
  <c r="E21" i="16" s="1"/>
  <c r="E22" i="16" s="1"/>
  <c r="F20" i="16"/>
  <c r="F21" i="16" s="1"/>
  <c r="F22" i="16" s="1"/>
  <c r="D20" i="16"/>
  <c r="D21" i="16" s="1"/>
  <c r="D22" i="16" s="1"/>
  <c r="L20" i="16"/>
  <c r="L21" i="16" s="1"/>
  <c r="L49" i="18"/>
  <c r="D10" i="10"/>
  <c r="D11" i="10" s="1"/>
  <c r="F19" i="28" s="1"/>
  <c r="M49" i="18"/>
  <c r="E49" i="18"/>
  <c r="O49" i="18"/>
  <c r="F49" i="18"/>
  <c r="S49" i="18"/>
  <c r="G49" i="18"/>
  <c r="F51" i="18"/>
  <c r="G51" i="18"/>
  <c r="G56" i="18" s="1"/>
  <c r="E51" i="18"/>
  <c r="S51" i="18"/>
  <c r="L51" i="18"/>
  <c r="L56" i="18" s="1"/>
  <c r="D51" i="18"/>
  <c r="K51" i="18"/>
  <c r="M51" i="18"/>
  <c r="M56" i="18" s="1"/>
  <c r="N51" i="18"/>
  <c r="O51" i="18"/>
  <c r="O56" i="18" s="1"/>
  <c r="Q18" i="1"/>
  <c r="Q20" i="1" s="1"/>
  <c r="P18" i="1"/>
  <c r="P18" i="4"/>
  <c r="P20" i="4" s="1"/>
  <c r="F12" i="4" s="1"/>
  <c r="F17" i="4" s="1"/>
  <c r="C14" i="19"/>
  <c r="C15" i="19" s="1"/>
  <c r="K5" i="11"/>
  <c r="K8" i="11" s="1"/>
  <c r="K10" i="11" s="1"/>
  <c r="R15" i="1"/>
  <c r="Q18" i="4"/>
  <c r="Q20" i="4" s="1"/>
  <c r="E25" i="4" s="1"/>
  <c r="E30" i="4" s="1"/>
  <c r="T48" i="18" l="1"/>
  <c r="N56" i="18"/>
  <c r="E14" i="32"/>
  <c r="F56" i="18"/>
  <c r="G14" i="32"/>
  <c r="D14" i="32"/>
  <c r="F14" i="32"/>
  <c r="U48" i="18"/>
  <c r="E56" i="18"/>
  <c r="D56" i="18"/>
  <c r="U51" i="18"/>
  <c r="T51" i="18"/>
  <c r="T49" i="18"/>
  <c r="U49" i="18"/>
  <c r="F18" i="4"/>
  <c r="F19" i="4" s="1"/>
  <c r="N57" i="18"/>
  <c r="N58" i="18" s="1"/>
  <c r="N61" i="18" s="1"/>
  <c r="R26" i="1"/>
  <c r="J27" i="1" s="1"/>
  <c r="R18" i="1"/>
  <c r="O57" i="18"/>
  <c r="O58" i="18" s="1"/>
  <c r="O61" i="18" s="1"/>
  <c r="G57" i="18"/>
  <c r="M57" i="18"/>
  <c r="M58" i="18" s="1"/>
  <c r="M61" i="18" s="1"/>
  <c r="F57" i="18"/>
  <c r="F25" i="4"/>
  <c r="F30" i="4" s="1"/>
  <c r="D25" i="4"/>
  <c r="D30" i="4" s="1"/>
  <c r="J25" i="4"/>
  <c r="J30" i="4" s="1"/>
  <c r="C25" i="4"/>
  <c r="C30" i="4" s="1"/>
  <c r="P20" i="1"/>
  <c r="D12" i="1" s="1"/>
  <c r="D17" i="1" s="1"/>
  <c r="E25" i="1"/>
  <c r="E30" i="1" s="1"/>
  <c r="F27" i="1"/>
  <c r="C12" i="4"/>
  <c r="C17" i="4" s="1"/>
  <c r="E12" i="4"/>
  <c r="E17" i="4" s="1"/>
  <c r="E18" i="4" s="1"/>
  <c r="J12" i="4"/>
  <c r="D12" i="4"/>
  <c r="D17" i="4" s="1"/>
  <c r="J12" i="1"/>
  <c r="M27" i="18"/>
  <c r="K57" i="18"/>
  <c r="L57" i="18"/>
  <c r="L58" i="18" s="1"/>
  <c r="L61" i="18" s="1"/>
  <c r="H19" i="28"/>
  <c r="I19" i="28" s="1"/>
  <c r="K14" i="11"/>
  <c r="O5" i="11"/>
  <c r="O8" i="11" s="1"/>
  <c r="D12" i="11"/>
  <c r="N27" i="18"/>
  <c r="L27" i="18"/>
  <c r="L5" i="11"/>
  <c r="L8" i="11" s="1"/>
  <c r="L10" i="11" s="1"/>
  <c r="S27" i="18"/>
  <c r="O27" i="18"/>
  <c r="D57" i="18" l="1"/>
  <c r="U56" i="18"/>
  <c r="T56" i="18"/>
  <c r="C12" i="1"/>
  <c r="C17" i="1" s="1"/>
  <c r="D27" i="1"/>
  <c r="C27" i="1"/>
  <c r="L26" i="18" s="1"/>
  <c r="E12" i="1"/>
  <c r="E17" i="1" s="1"/>
  <c r="F12" i="1"/>
  <c r="F17" i="1" s="1"/>
  <c r="R20" i="1"/>
  <c r="J25" i="1" s="1"/>
  <c r="J30" i="1" s="1"/>
  <c r="K26" i="18"/>
  <c r="E57" i="18"/>
  <c r="S57" i="18"/>
  <c r="S58" i="18" s="1"/>
  <c r="S61" i="18" s="1"/>
  <c r="S26" i="18"/>
  <c r="N26" i="18"/>
  <c r="F31" i="4"/>
  <c r="P5" i="11"/>
  <c r="P8" i="11" s="1"/>
  <c r="E12" i="11"/>
  <c r="D10" i="11"/>
  <c r="K16" i="11"/>
  <c r="L14" i="11"/>
  <c r="T57" i="18" l="1"/>
  <c r="U57" i="18"/>
  <c r="F25" i="1"/>
  <c r="F30" i="1" s="1"/>
  <c r="C25" i="1"/>
  <c r="D25" i="1"/>
  <c r="D30" i="1" s="1"/>
  <c r="K19" i="11"/>
  <c r="D9" i="11" s="1"/>
  <c r="D31" i="4"/>
  <c r="C31" i="4"/>
  <c r="M26" i="18"/>
  <c r="O26" i="18"/>
  <c r="E31" i="4"/>
  <c r="F20" i="28"/>
  <c r="H20" i="28" s="1"/>
  <c r="I20" i="28" s="1"/>
  <c r="J31" i="4"/>
  <c r="D58" i="18"/>
  <c r="L16" i="11"/>
  <c r="E10" i="11"/>
  <c r="E9" i="9"/>
  <c r="I18" i="9"/>
  <c r="G20" i="13"/>
  <c r="F20" i="13"/>
  <c r="E20" i="13"/>
  <c r="D20" i="13"/>
  <c r="C20" i="13"/>
  <c r="T26" i="18" l="1"/>
  <c r="U26" i="18"/>
  <c r="D61" i="18"/>
  <c r="C30" i="1"/>
  <c r="D13" i="11"/>
  <c r="D14" i="11" s="1"/>
  <c r="D15" i="11" s="1"/>
  <c r="K31" i="18"/>
  <c r="L19" i="11"/>
  <c r="E9" i="11" s="1"/>
  <c r="N31" i="18" s="1"/>
  <c r="E32" i="4"/>
  <c r="J32" i="4"/>
  <c r="D32" i="4"/>
  <c r="F32" i="4"/>
  <c r="C32" i="4"/>
  <c r="P5" i="12"/>
  <c r="O5" i="12"/>
  <c r="L14" i="12"/>
  <c r="L15" i="12" s="1"/>
  <c r="L18" i="12" s="1"/>
  <c r="K14" i="12"/>
  <c r="K15" i="12" s="1"/>
  <c r="K18" i="12" s="1"/>
  <c r="L7" i="12"/>
  <c r="K7" i="12"/>
  <c r="I15" i="9"/>
  <c r="I17" i="9" l="1"/>
  <c r="I19" i="9" s="1"/>
  <c r="S31" i="18"/>
  <c r="O31" i="18"/>
  <c r="L31" i="18"/>
  <c r="M31" i="18"/>
  <c r="E13" i="11"/>
  <c r="E14" i="11" s="1"/>
  <c r="E15" i="11" s="1"/>
  <c r="P7" i="12"/>
  <c r="L9" i="12"/>
  <c r="K9" i="12"/>
  <c r="O7" i="12"/>
  <c r="I13" i="9"/>
  <c r="E6" i="12"/>
  <c r="D6" i="12"/>
  <c r="I21" i="9" l="1"/>
  <c r="D15" i="27"/>
  <c r="F15" i="27" s="1"/>
  <c r="G15" i="27" s="1"/>
  <c r="T31" i="18"/>
  <c r="U31" i="18"/>
  <c r="D15" i="26"/>
  <c r="O10" i="12"/>
  <c r="D7" i="12" s="1"/>
  <c r="D28" i="18" s="1"/>
  <c r="K11" i="12"/>
  <c r="D9" i="12" s="1"/>
  <c r="L11" i="12"/>
  <c r="E9" i="12" s="1"/>
  <c r="L29" i="18" s="1"/>
  <c r="P10" i="12"/>
  <c r="E7" i="12" s="1"/>
  <c r="O28" i="18" s="1"/>
  <c r="E10" i="9"/>
  <c r="D10" i="9" l="1"/>
  <c r="D11" i="9" s="1"/>
  <c r="D12" i="9" s="1"/>
  <c r="D13" i="9" s="1"/>
  <c r="E16" i="9" s="1"/>
  <c r="K63" i="8" s="1"/>
  <c r="E11" i="9"/>
  <c r="G16" i="18" s="1"/>
  <c r="G17" i="18" s="1"/>
  <c r="G18" i="18" s="1"/>
  <c r="G10" i="33" s="1"/>
  <c r="N29" i="18"/>
  <c r="S29" i="18"/>
  <c r="M29" i="18"/>
  <c r="O29" i="18"/>
  <c r="F29" i="18"/>
  <c r="G29" i="18"/>
  <c r="G28" i="18"/>
  <c r="F28" i="18"/>
  <c r="M28" i="18"/>
  <c r="S28" i="18"/>
  <c r="N28" i="18"/>
  <c r="D10" i="12"/>
  <c r="D11" i="12" s="1"/>
  <c r="D12" i="12" s="1"/>
  <c r="E28" i="18"/>
  <c r="K28" i="18"/>
  <c r="L28" i="18"/>
  <c r="E10" i="12"/>
  <c r="E11" i="12" s="1"/>
  <c r="E12" i="12" s="1"/>
  <c r="M63" i="8" l="1"/>
  <c r="K67" i="8"/>
  <c r="M67" i="8" s="1"/>
  <c r="K68" i="8"/>
  <c r="G39" i="18"/>
  <c r="U28" i="18"/>
  <c r="T28" i="18"/>
  <c r="M34" i="18"/>
  <c r="G34" i="18"/>
  <c r="L14" i="18"/>
  <c r="L16" i="18" s="1"/>
  <c r="L17" i="18" s="1"/>
  <c r="L18" i="18" s="1"/>
  <c r="L39" i="18" s="1"/>
  <c r="M14" i="18"/>
  <c r="M16" i="18" s="1"/>
  <c r="M17" i="18" s="1"/>
  <c r="M18" i="18" s="1"/>
  <c r="M39" i="18" s="1"/>
  <c r="K14" i="18"/>
  <c r="K16" i="18" s="1"/>
  <c r="K17" i="18" s="1"/>
  <c r="K18" i="18" s="1"/>
  <c r="K39" i="18" s="1"/>
  <c r="F34" i="18"/>
  <c r="F16" i="18"/>
  <c r="F17" i="18" s="1"/>
  <c r="F18" i="18" s="1"/>
  <c r="F10" i="33" s="1"/>
  <c r="E12" i="9"/>
  <c r="E13" i="9" s="1"/>
  <c r="D31" i="27" s="1"/>
  <c r="F31" i="27" s="1"/>
  <c r="G31" i="27" s="1"/>
  <c r="S14" i="18"/>
  <c r="S16" i="18" s="1"/>
  <c r="S17" i="18" s="1"/>
  <c r="S18" i="18" s="1"/>
  <c r="S39" i="18" s="1"/>
  <c r="O14" i="18"/>
  <c r="O16" i="18" s="1"/>
  <c r="O17" i="18" s="1"/>
  <c r="O18" i="18" s="1"/>
  <c r="O39" i="18" s="1"/>
  <c r="N14" i="18"/>
  <c r="N16" i="18" s="1"/>
  <c r="N17" i="18" s="1"/>
  <c r="N18" i="18" s="1"/>
  <c r="N39" i="18" s="1"/>
  <c r="E16" i="18"/>
  <c r="E17" i="18" s="1"/>
  <c r="E18" i="18" s="1"/>
  <c r="E10" i="33" s="1"/>
  <c r="M68" i="8" l="1"/>
  <c r="F39" i="18"/>
  <c r="E39" i="18"/>
  <c r="D16" i="18"/>
  <c r="U14" i="18"/>
  <c r="T14" i="18"/>
  <c r="U16" i="18" l="1"/>
  <c r="T16" i="18"/>
  <c r="D17" i="18"/>
  <c r="D18" i="18" s="1"/>
  <c r="S34" i="18"/>
  <c r="L34" i="18"/>
  <c r="D10" i="33" l="1"/>
  <c r="U18" i="18"/>
  <c r="T18" i="18"/>
  <c r="T17" i="18"/>
  <c r="U17" i="18"/>
  <c r="M35" i="18"/>
  <c r="M36" i="18" s="1"/>
  <c r="M40" i="18" s="1"/>
  <c r="M44" i="18" s="1"/>
  <c r="O34" i="18"/>
  <c r="O35" i="18" s="1"/>
  <c r="O36" i="18" s="1"/>
  <c r="O40" i="18" s="1"/>
  <c r="O44" i="18" s="1"/>
  <c r="N34" i="18"/>
  <c r="N35" i="18" s="1"/>
  <c r="N36" i="18" s="1"/>
  <c r="N40" i="18" s="1"/>
  <c r="N44" i="18" s="1"/>
  <c r="D39" i="18"/>
  <c r="E19" i="6"/>
  <c r="E20" i="6" s="1"/>
  <c r="F19" i="6"/>
  <c r="F20" i="6" s="1"/>
  <c r="J19" i="6"/>
  <c r="J20" i="6" s="1"/>
  <c r="L35" i="18"/>
  <c r="L36" i="18" s="1"/>
  <c r="L40" i="18" s="1"/>
  <c r="D19" i="6"/>
  <c r="S35" i="18"/>
  <c r="S36" i="18" s="1"/>
  <c r="S40" i="18" s="1"/>
  <c r="S44" i="18" s="1"/>
  <c r="C19" i="6"/>
  <c r="E27" i="18"/>
  <c r="T39" i="18" l="1"/>
  <c r="U39" i="18"/>
  <c r="L44" i="18"/>
  <c r="M60" i="18"/>
  <c r="M62" i="18" s="1"/>
  <c r="M65" i="18" s="1"/>
  <c r="M66" i="18" s="1"/>
  <c r="N60" i="18"/>
  <c r="N62" i="18" s="1"/>
  <c r="N65" i="18" s="1"/>
  <c r="N66" i="18" s="1"/>
  <c r="O60" i="18"/>
  <c r="O62" i="18" s="1"/>
  <c r="O65" i="18" s="1"/>
  <c r="O66" i="18" s="1"/>
  <c r="S60" i="18"/>
  <c r="S62" i="18" s="1"/>
  <c r="S65" i="18" s="1"/>
  <c r="S66" i="18" s="1"/>
  <c r="D20" i="6"/>
  <c r="C20" i="6"/>
  <c r="D27" i="18"/>
  <c r="K27" i="18"/>
  <c r="U27" i="18" l="1"/>
  <c r="T27" i="18"/>
  <c r="L60" i="18"/>
  <c r="L62" i="18" s="1"/>
  <c r="L65" i="18" s="1"/>
  <c r="L66" i="18" s="1"/>
  <c r="D29" i="18"/>
  <c r="E29" i="18"/>
  <c r="E34" i="18" s="1"/>
  <c r="F16" i="26"/>
  <c r="G16" i="26" s="1"/>
  <c r="D18" i="4"/>
  <c r="C18" i="4"/>
  <c r="D34" i="18" l="1"/>
  <c r="D19" i="4"/>
  <c r="U20" i="1"/>
  <c r="D17" i="26" s="1"/>
  <c r="F17" i="26" s="1"/>
  <c r="G17" i="26" s="1"/>
  <c r="E19" i="4" l="1"/>
  <c r="C19" i="4"/>
  <c r="F15" i="26" l="1"/>
  <c r="G15" i="26" s="1"/>
  <c r="D31" i="1"/>
  <c r="J31" i="1"/>
  <c r="C31" i="1"/>
  <c r="F31" i="1"/>
  <c r="E31" i="1"/>
  <c r="D18" i="1" l="1"/>
  <c r="E18" i="1"/>
  <c r="F18" i="1"/>
  <c r="J18" i="1"/>
  <c r="K29" i="18" l="1"/>
  <c r="G35" i="18"/>
  <c r="G36" i="18" s="1"/>
  <c r="F35" i="18"/>
  <c r="C18" i="1"/>
  <c r="D35" i="18"/>
  <c r="G58" i="18"/>
  <c r="G61" i="18" s="1"/>
  <c r="K58" i="18"/>
  <c r="K61" i="18" s="1"/>
  <c r="E58" i="18"/>
  <c r="F58" i="18"/>
  <c r="F61" i="18" s="1"/>
  <c r="J19" i="1"/>
  <c r="J32" i="1"/>
  <c r="E32" i="1"/>
  <c r="F32" i="1"/>
  <c r="D32" i="1"/>
  <c r="C32" i="1"/>
  <c r="G40" i="18" l="1"/>
  <c r="G44" i="18" s="1"/>
  <c r="G13" i="32"/>
  <c r="G16" i="32" s="1"/>
  <c r="G17" i="32" s="1"/>
  <c r="G19" i="32" s="1"/>
  <c r="U29" i="18"/>
  <c r="T29" i="18"/>
  <c r="E61" i="18"/>
  <c r="U58" i="18"/>
  <c r="T58" i="18"/>
  <c r="K34" i="18"/>
  <c r="G60" i="18"/>
  <c r="G62" i="18" s="1"/>
  <c r="G65" i="18" s="1"/>
  <c r="G66" i="18" s="1"/>
  <c r="F36" i="18"/>
  <c r="E35" i="18"/>
  <c r="E36" i="18" s="1"/>
  <c r="D36" i="18"/>
  <c r="D13" i="32" s="1"/>
  <c r="D16" i="32" s="1"/>
  <c r="D17" i="32" s="1"/>
  <c r="D19" i="32" s="1"/>
  <c r="D21" i="32" s="1"/>
  <c r="D19" i="1"/>
  <c r="E19" i="1"/>
  <c r="F19" i="1"/>
  <c r="C19" i="1"/>
  <c r="F40" i="18" l="1"/>
  <c r="F44" i="18" s="1"/>
  <c r="F60" i="18" s="1"/>
  <c r="F62" i="18" s="1"/>
  <c r="F65" i="18" s="1"/>
  <c r="F66" i="18" s="1"/>
  <c r="F13" i="32"/>
  <c r="F16" i="32" s="1"/>
  <c r="F17" i="32" s="1"/>
  <c r="F19" i="32" s="1"/>
  <c r="E40" i="18"/>
  <c r="E44" i="18" s="1"/>
  <c r="E60" i="18" s="1"/>
  <c r="E62" i="18" s="1"/>
  <c r="E65" i="18" s="1"/>
  <c r="E66" i="18" s="1"/>
  <c r="E13" i="32"/>
  <c r="E16" i="32" s="1"/>
  <c r="E17" i="32" s="1"/>
  <c r="E19" i="32" s="1"/>
  <c r="D40" i="18"/>
  <c r="U34" i="18"/>
  <c r="D19" i="26" s="1"/>
  <c r="T34" i="18"/>
  <c r="T61" i="18"/>
  <c r="U61" i="18"/>
  <c r="K35" i="18"/>
  <c r="K36" i="18" s="1"/>
  <c r="K40" i="18" s="1"/>
  <c r="K44" i="18" s="1"/>
  <c r="U35" i="18" l="1"/>
  <c r="U36" i="18"/>
  <c r="T35" i="18"/>
  <c r="T36" i="18"/>
  <c r="D44" i="18"/>
  <c r="D60" i="18" s="1"/>
  <c r="U40" i="18"/>
  <c r="T40" i="18"/>
  <c r="K60" i="18"/>
  <c r="K62" i="18" s="1"/>
  <c r="K65" i="18" s="1"/>
  <c r="K66" i="18" s="1"/>
  <c r="F19" i="26"/>
  <c r="G19" i="26" s="1"/>
  <c r="T60" i="18" l="1"/>
  <c r="U60" i="18"/>
  <c r="T44" i="18"/>
  <c r="U44" i="18"/>
  <c r="D62" i="18"/>
  <c r="D65" i="18" l="1"/>
  <c r="T62" i="18"/>
  <c r="U62" i="18"/>
  <c r="D66" i="18" l="1"/>
  <c r="T66" i="18" s="1"/>
  <c r="T71" i="18" s="1"/>
  <c r="U65" i="18"/>
  <c r="T70" i="18" s="1"/>
  <c r="T65" i="18"/>
</calcChain>
</file>

<file path=xl/comments1.xml><?xml version="1.0" encoding="utf-8"?>
<comments xmlns="http://schemas.openxmlformats.org/spreadsheetml/2006/main">
  <authors>
    <author>Etienne</author>
  </authors>
  <commentList>
    <comment ref="Q16" authorId="0">
      <text>
        <r>
          <rPr>
            <b/>
            <sz val="9"/>
            <color indexed="81"/>
            <rFont val="Tahoma"/>
            <family val="2"/>
          </rPr>
          <t>Etienne:</t>
        </r>
        <r>
          <rPr>
            <sz val="9"/>
            <color indexed="81"/>
            <rFont val="Tahoma"/>
            <family val="2"/>
          </rPr>
          <t xml:space="preserve">
Ajouter obligatoirement le nombre d'opérateur, vital pour le calcul de vacance
</t>
        </r>
      </text>
    </comment>
    <comment ref="C33" authorId="0">
      <text>
        <r>
          <rPr>
            <b/>
            <sz val="9"/>
            <color indexed="81"/>
            <rFont val="Tahoma"/>
            <family val="2"/>
          </rPr>
          <t>Etienne:</t>
        </r>
        <r>
          <rPr>
            <sz val="9"/>
            <color indexed="81"/>
            <rFont val="Tahoma"/>
            <family val="2"/>
          </rPr>
          <t xml:space="preserve">
pour les essences avec écimeur
</t>
        </r>
      </text>
    </comment>
  </commentList>
</comments>
</file>

<file path=xl/comments2.xml><?xml version="1.0" encoding="utf-8"?>
<comments xmlns="http://schemas.openxmlformats.org/spreadsheetml/2006/main">
  <authors>
    <author>Etienne</author>
  </authors>
  <commentList>
    <comment ref="Q17" authorId="0">
      <text>
        <r>
          <rPr>
            <b/>
            <sz val="9"/>
            <color indexed="81"/>
            <rFont val="Tahoma"/>
            <family val="2"/>
          </rPr>
          <t>Etienne:</t>
        </r>
        <r>
          <rPr>
            <sz val="9"/>
            <color indexed="81"/>
            <rFont val="Tahoma"/>
            <family val="2"/>
          </rPr>
          <t xml:space="preserve">
Remplir obligatoirement
</t>
        </r>
      </text>
    </comment>
  </commentList>
</comments>
</file>

<file path=xl/comments3.xml><?xml version="1.0" encoding="utf-8"?>
<comments xmlns="http://schemas.openxmlformats.org/spreadsheetml/2006/main">
  <authors>
    <author>Etienne</author>
  </authors>
  <commentList>
    <comment ref="P16" authorId="0">
      <text>
        <r>
          <rPr>
            <b/>
            <sz val="9"/>
            <color indexed="81"/>
            <rFont val="Tahoma"/>
            <family val="2"/>
          </rPr>
          <t>Etienne:</t>
        </r>
        <r>
          <rPr>
            <sz val="9"/>
            <color indexed="81"/>
            <rFont val="Tahoma"/>
            <family val="2"/>
          </rPr>
          <t xml:space="preserve">
Remplir obligatoirement
</t>
        </r>
      </text>
    </comment>
  </commentList>
</comments>
</file>

<file path=xl/sharedStrings.xml><?xml version="1.0" encoding="utf-8"?>
<sst xmlns="http://schemas.openxmlformats.org/spreadsheetml/2006/main" count="1235" uniqueCount="462">
  <si>
    <t>Abattage</t>
  </si>
  <si>
    <t>Activité</t>
  </si>
  <si>
    <t>$/m3</t>
  </si>
  <si>
    <t>Détails</t>
  </si>
  <si>
    <t>Hébergement</t>
  </si>
  <si>
    <t>Fardier</t>
  </si>
  <si>
    <t>Travail Horaire</t>
  </si>
  <si>
    <t>Traction</t>
  </si>
  <si>
    <t>Volume</t>
  </si>
  <si>
    <t>Opérateur (unité)</t>
  </si>
  <si>
    <t>Productivité (M3/HMP)</t>
  </si>
  <si>
    <t>HMPv (heure/semaine)</t>
  </si>
  <si>
    <t>Semaine (unité)</t>
  </si>
  <si>
    <t>Taux ($/HMP)</t>
  </si>
  <si>
    <t>Temps de déplacement (heure)</t>
  </si>
  <si>
    <t>Nombre de machine (unité)</t>
  </si>
  <si>
    <t>Nombre de coucher (unité)</t>
  </si>
  <si>
    <t>Prix ($/jour)</t>
  </si>
  <si>
    <t>Coucher par semaine (unité)</t>
  </si>
  <si>
    <t>Taux d'utilisation (%)</t>
  </si>
  <si>
    <t>Taux ($/m3)</t>
  </si>
  <si>
    <t xml:space="preserve">Total </t>
  </si>
  <si>
    <t>Travail horaire</t>
  </si>
  <si>
    <t>Heure (unité)</t>
  </si>
  <si>
    <t>Débardage</t>
  </si>
  <si>
    <t>Ébranchage</t>
  </si>
  <si>
    <t>Construction de chemin</t>
  </si>
  <si>
    <t xml:space="preserve">Récolte </t>
  </si>
  <si>
    <t>Chemin</t>
  </si>
  <si>
    <t xml:space="preserve">Hébergement </t>
  </si>
  <si>
    <t xml:space="preserve">Fardier </t>
  </si>
  <si>
    <t>Réfection</t>
  </si>
  <si>
    <t>Productivité construction hiver(M/HMP)</t>
  </si>
  <si>
    <t>Semaine total (unité)</t>
  </si>
  <si>
    <t>Gravelage</t>
  </si>
  <si>
    <t>Productivité gravelage</t>
  </si>
  <si>
    <t>Production</t>
  </si>
  <si>
    <t>HMP/jour</t>
  </si>
  <si>
    <t>$/HMP</t>
  </si>
  <si>
    <t xml:space="preserve">Sous-Total </t>
  </si>
  <si>
    <t>Administration  3%</t>
  </si>
  <si>
    <t>Total</t>
  </si>
  <si>
    <t>Sous-Total</t>
  </si>
  <si>
    <t>Mesurage</t>
  </si>
  <si>
    <t xml:space="preserve">Déplacement </t>
  </si>
  <si>
    <t>Matériel</t>
  </si>
  <si>
    <t>Salaire + Avantages</t>
  </si>
  <si>
    <t>Court</t>
  </si>
  <si>
    <t>Long</t>
  </si>
  <si>
    <t>Productivité (M3/HP)</t>
  </si>
  <si>
    <t>Salaire</t>
  </si>
  <si>
    <t>Heure nécessaires ( heure)</t>
  </si>
  <si>
    <t>Taux horaire ($/HP)</t>
  </si>
  <si>
    <t>Avantages sociaux ($/HP)</t>
  </si>
  <si>
    <t>Déplacement</t>
  </si>
  <si>
    <t>Jour (unité)</t>
  </si>
  <si>
    <t>Déplacement allez retour (km)</t>
  </si>
  <si>
    <t>Taux ($/km)</t>
  </si>
  <si>
    <t>Prévision de production sur site mésique, 200m de débardage</t>
  </si>
  <si>
    <t>Machine</t>
  </si>
  <si>
    <t>Abatteuse multi</t>
  </si>
  <si>
    <t>Abatteuse groupeuse</t>
  </si>
  <si>
    <t>Porteur</t>
  </si>
  <si>
    <t>Grappin</t>
  </si>
  <si>
    <t>Ébrancheuse</t>
  </si>
  <si>
    <t>6 tiges/m3 CT</t>
  </si>
  <si>
    <t>6 tiges/m3 CT CFHL</t>
  </si>
  <si>
    <t>8 tiges/m3 CT</t>
  </si>
  <si>
    <t>8 tiges/m3 CT CFHL</t>
  </si>
  <si>
    <t>10 tiges/m3 CT</t>
  </si>
  <si>
    <t>10 tiges/m3 CT CFHL</t>
  </si>
  <si>
    <t>12 tiges/m3 CT</t>
  </si>
  <si>
    <t>12 tiges/m3 CT CFHL</t>
  </si>
  <si>
    <t>4 tiges/m3 CP</t>
  </si>
  <si>
    <t>4 tiges/m3 CP CFHL</t>
  </si>
  <si>
    <t>6 tiges/m3 CP</t>
  </si>
  <si>
    <t>6 tiges/m3 CP CFHL</t>
  </si>
  <si>
    <t>8 tiges/m3 CP</t>
  </si>
  <si>
    <t>8 tiges/m3 CP CFHL</t>
  </si>
  <si>
    <t>10 tiges/m3 CP</t>
  </si>
  <si>
    <t>10 tiges/m3 CP CFHL</t>
  </si>
  <si>
    <t>Moyenne</t>
  </si>
  <si>
    <t>Volume (m3)</t>
  </si>
  <si>
    <t>Gravelage (km)</t>
  </si>
  <si>
    <t>Jour/semaine (unité)</t>
  </si>
  <si>
    <t xml:space="preserve">Chemin </t>
  </si>
  <si>
    <t xml:space="preserve">Coût </t>
  </si>
  <si>
    <t>$/Km</t>
  </si>
  <si>
    <t xml:space="preserve">Court </t>
  </si>
  <si>
    <t>Récolte Court</t>
  </si>
  <si>
    <t>Récolte Long</t>
  </si>
  <si>
    <t>Entretient</t>
  </si>
  <si>
    <t>Hiver</t>
  </si>
  <si>
    <t>Été</t>
  </si>
  <si>
    <t>Proportion %</t>
  </si>
  <si>
    <t>Écimeurs</t>
  </si>
  <si>
    <t>À ébrancher</t>
  </si>
  <si>
    <t xml:space="preserve">Sous-total </t>
  </si>
  <si>
    <t>HP (heure/semaine)</t>
  </si>
  <si>
    <t>Hébergement: 1=Oui, 0=Non</t>
  </si>
  <si>
    <t>Semaine(unité)</t>
  </si>
  <si>
    <t>Heure par semaine (heure)</t>
  </si>
  <si>
    <t>Production cible  (Km/jour)</t>
  </si>
  <si>
    <t>Taux cible ($/Km)</t>
  </si>
  <si>
    <t>Chargeuse</t>
  </si>
  <si>
    <t>Chargement</t>
  </si>
  <si>
    <t xml:space="preserve">Chargement </t>
  </si>
  <si>
    <t>$/tonne</t>
  </si>
  <si>
    <t>Facteur masse/volume</t>
  </si>
  <si>
    <t>tonne/m3</t>
  </si>
  <si>
    <t>Chargement (conversion)</t>
  </si>
  <si>
    <t>Surveillance</t>
  </si>
  <si>
    <t>Bois Court</t>
  </si>
  <si>
    <t xml:space="preserve"> Récolte</t>
  </si>
  <si>
    <t>Coût (semaine)</t>
  </si>
  <si>
    <t>Prix essence ($)</t>
  </si>
  <si>
    <t xml:space="preserve">Transport </t>
  </si>
  <si>
    <t>Taux ($/Heure)</t>
  </si>
  <si>
    <t>Taux ($/tonne)</t>
  </si>
  <si>
    <t>Facteur masse volume</t>
  </si>
  <si>
    <t>Temps de transport (heure/voyage)</t>
  </si>
  <si>
    <t>Chargement (tonne/voyage)</t>
  </si>
  <si>
    <t>Ajustement diesel %</t>
  </si>
  <si>
    <t>Transport bois court</t>
  </si>
  <si>
    <t>Transport bois long</t>
  </si>
  <si>
    <t>Récolte long</t>
  </si>
  <si>
    <t>Nombre de contremaître (unité)</t>
  </si>
  <si>
    <t>Heure nécessaires (heure)</t>
  </si>
  <si>
    <t>Nombre de pelle (unité)</t>
  </si>
  <si>
    <t>Nombre de bull/niveleuse (unité)</t>
  </si>
  <si>
    <t>Nombre de camion (unité)</t>
  </si>
  <si>
    <t xml:space="preserve">HMP/jour </t>
  </si>
  <si>
    <t xml:space="preserve">Taux </t>
  </si>
  <si>
    <t>Abattage ($/m3)</t>
  </si>
  <si>
    <t>Débardage ($/m3)</t>
  </si>
  <si>
    <t>Fardier ($/m3)</t>
  </si>
  <si>
    <t>Mesurage ($/m3)</t>
  </si>
  <si>
    <t>Hébergement ($/m3)</t>
  </si>
  <si>
    <t>Surveillance ($/m3)</t>
  </si>
  <si>
    <t>Sous-Total  ($/m3)</t>
  </si>
  <si>
    <t>Total ($/m3)</t>
  </si>
  <si>
    <t>Ébranchage ($/m3)</t>
  </si>
  <si>
    <t>Chargement ($/m3)</t>
  </si>
  <si>
    <r>
      <t xml:space="preserve">Ajustement </t>
    </r>
    <r>
      <rPr>
        <strike/>
        <sz val="11"/>
        <color theme="1"/>
        <rFont val="Calibri"/>
        <family val="2"/>
        <scheme val="minor"/>
      </rPr>
      <t>%</t>
    </r>
  </si>
  <si>
    <t>Sous-Total ($/m3)</t>
  </si>
  <si>
    <t>Tronçonneuse</t>
  </si>
  <si>
    <t xml:space="preserve">Tronçonnage </t>
  </si>
  <si>
    <t>Tronçonnage</t>
  </si>
  <si>
    <t>Tronçonnage ($/m3)</t>
  </si>
  <si>
    <t>Autre, A-D-E-T  ($/m3)</t>
  </si>
  <si>
    <t>Administration et Profit/Risque ($/m3)</t>
  </si>
  <si>
    <t>Transport</t>
  </si>
  <si>
    <t>Bord de route</t>
  </si>
  <si>
    <t>Final</t>
  </si>
  <si>
    <t>Administration</t>
  </si>
  <si>
    <t xml:space="preserve">Administration </t>
  </si>
  <si>
    <t xml:space="preserve">Administration  </t>
  </si>
  <si>
    <t xml:space="preserve"> Bois Long</t>
  </si>
  <si>
    <t>Récolte</t>
  </si>
  <si>
    <t>Administration et Profit/Risque</t>
  </si>
  <si>
    <t>Dépenses Générales</t>
  </si>
  <si>
    <t>Surintendant</t>
  </si>
  <si>
    <t>Total ($)</t>
  </si>
  <si>
    <t>Directeur Général</t>
  </si>
  <si>
    <t>Directeur Récolte</t>
  </si>
  <si>
    <t>Géomatique</t>
  </si>
  <si>
    <t>Matériel+Sécurité</t>
  </si>
  <si>
    <t>Communication</t>
  </si>
  <si>
    <t>ISO</t>
  </si>
  <si>
    <t>Infraction</t>
  </si>
  <si>
    <t>Autre Frais</t>
  </si>
  <si>
    <t>SOPFIM/SOPFEU</t>
  </si>
  <si>
    <t>Coût Total ($)</t>
  </si>
  <si>
    <t>Coût ($/m3)</t>
  </si>
  <si>
    <t>Volume Annuel</t>
  </si>
  <si>
    <t>Dépenses générales ($/m3)</t>
  </si>
  <si>
    <t>Récupération ($/m3)</t>
  </si>
  <si>
    <t>Crédit Construction de chemin ($/m3)</t>
  </si>
  <si>
    <t>Crédit Récolte ($/m3)</t>
  </si>
  <si>
    <t>Facteur masse/volume (kg/m3)</t>
  </si>
  <si>
    <t>Vente</t>
  </si>
  <si>
    <t>Prix de vente ($/m3)</t>
  </si>
  <si>
    <t>Total bord de route ($/m3)</t>
  </si>
  <si>
    <t>Total transport ($/m3)</t>
  </si>
  <si>
    <t>Coût final ($/m3)</t>
  </si>
  <si>
    <t>Prévus</t>
  </si>
  <si>
    <t>Réel</t>
  </si>
  <si>
    <t>Restant</t>
  </si>
  <si>
    <t>Volume  (m3)</t>
  </si>
  <si>
    <t>Hébergement (nuit)</t>
  </si>
  <si>
    <t>Travail Horaire ($)</t>
  </si>
  <si>
    <t>Traction ($)</t>
  </si>
  <si>
    <t>Complété %</t>
  </si>
  <si>
    <t>Gravellage ($/km)</t>
  </si>
  <si>
    <t>Gravellage (km)</t>
  </si>
  <si>
    <t>Entretient ($)</t>
  </si>
  <si>
    <t>Restant %</t>
  </si>
  <si>
    <t>Budget Total</t>
  </si>
  <si>
    <t>Entretien de chemin ($/m3)</t>
  </si>
  <si>
    <t>Livré</t>
  </si>
  <si>
    <t>Profit/Perte ($/m3)</t>
  </si>
  <si>
    <t>Profit/Perte (%)</t>
  </si>
  <si>
    <t>Profit/Perte</t>
  </si>
  <si>
    <t>Travail Horaire (heure)</t>
  </si>
  <si>
    <t>Drainage 300 mm</t>
  </si>
  <si>
    <t>Jour/semaine</t>
  </si>
  <si>
    <t>Ponceau 450 (unité)</t>
  </si>
  <si>
    <t>Ponceau 600  (unité)</t>
  </si>
  <si>
    <t>Ponceau 800 (unité)</t>
  </si>
  <si>
    <t>Ponceau 1800 (unité)</t>
  </si>
  <si>
    <t>Ponceau 2000 (unité)</t>
  </si>
  <si>
    <t>Ponceau 2500 (unité)</t>
  </si>
  <si>
    <t>Ponceau 1250 (unité)</t>
  </si>
  <si>
    <t>Ponceau 1000 (unité)</t>
  </si>
  <si>
    <t>Droit de coupe ($/m3)</t>
  </si>
  <si>
    <t>Destination</t>
  </si>
  <si>
    <t>Fardier (heure)</t>
  </si>
  <si>
    <t>Restant (%)</t>
  </si>
  <si>
    <t>Mesuré</t>
  </si>
  <si>
    <t xml:space="preserve">Restant </t>
  </si>
  <si>
    <t>À Tronçonner</t>
  </si>
  <si>
    <t>Traction (heure)</t>
  </si>
  <si>
    <t>Vacances/Congé</t>
  </si>
  <si>
    <t>Vancance/Congé</t>
  </si>
  <si>
    <t>Écimeur</t>
  </si>
  <si>
    <t xml:space="preserve">% </t>
  </si>
  <si>
    <t>Salaire moyen hebdomadaire ($/semaine)</t>
  </si>
  <si>
    <t>Vacance/Congé</t>
  </si>
  <si>
    <t>Vacance/congé</t>
  </si>
  <si>
    <t>Salaire moyen horaire ($/heure)</t>
  </si>
  <si>
    <t>Secteur</t>
  </si>
  <si>
    <t>Semaine d'opération (semaine/an)</t>
  </si>
  <si>
    <t>Nombre d'opérateur</t>
  </si>
  <si>
    <t>Distance (m)</t>
  </si>
  <si>
    <t>Productivité construction été (m/HMP)</t>
  </si>
  <si>
    <t>Taux pelle ($/HMP)</t>
  </si>
  <si>
    <t>Coût réfection ($/m)</t>
  </si>
  <si>
    <t>HMPV (heure/semaine)</t>
  </si>
  <si>
    <t>Diamètre (mm)</t>
  </si>
  <si>
    <t>Prix ($/m)</t>
  </si>
  <si>
    <t>Ponceaux</t>
  </si>
  <si>
    <t>Installation %</t>
  </si>
  <si>
    <t>Plastique</t>
  </si>
  <si>
    <t>Type</t>
  </si>
  <si>
    <t>Métal</t>
  </si>
  <si>
    <t>Installation de ponceaux (heure)</t>
  </si>
  <si>
    <t>Commande (unité)</t>
  </si>
  <si>
    <t>Longueur (m)</t>
  </si>
  <si>
    <t>Prix d'installation ($/m)</t>
  </si>
  <si>
    <t>Coût ponceaux ($)</t>
  </si>
  <si>
    <t>Coût installation ($)</t>
  </si>
  <si>
    <t>CJ</t>
  </si>
  <si>
    <t>CPRS</t>
  </si>
  <si>
    <t>Chemin d'été CJ</t>
  </si>
  <si>
    <t>Chemin d'hiver CPRS</t>
  </si>
  <si>
    <t>Chemin d'été CPRS</t>
  </si>
  <si>
    <t>Chemin d'hiver CJ</t>
  </si>
  <si>
    <t>Collet (unité)</t>
  </si>
  <si>
    <t>Prix Collet ($/unité)</t>
  </si>
  <si>
    <t>Géotextile (unité)</t>
  </si>
  <si>
    <t>Géotextile ($/unité)</t>
  </si>
  <si>
    <t>Matériel ($)</t>
  </si>
  <si>
    <t>Ponceaux+collet</t>
  </si>
  <si>
    <t>Sous-total</t>
  </si>
  <si>
    <t>Total Récolte ($/m3)</t>
  </si>
  <si>
    <t>Contruction de chemin</t>
  </si>
  <si>
    <t>Total Construction de chemin ($/m3)</t>
  </si>
  <si>
    <t>Construction de chemin ($/m3)</t>
  </si>
  <si>
    <t>Ponceaux ($/m3)</t>
  </si>
  <si>
    <t>Autre ($/m3)</t>
  </si>
  <si>
    <t>Total bord de route</t>
  </si>
  <si>
    <t>Été CJ</t>
  </si>
  <si>
    <t>Été CPRS</t>
  </si>
  <si>
    <t>Hiver CJ</t>
  </si>
  <si>
    <t>Hiver CPRS</t>
  </si>
  <si>
    <t>Chemin construit (m)</t>
  </si>
  <si>
    <t>Ponceau 1400 (unité)</t>
  </si>
  <si>
    <t>Taux ($/m)</t>
  </si>
  <si>
    <t>Coût ($/m)</t>
  </si>
  <si>
    <t>Longeur (m)</t>
  </si>
  <si>
    <t>CJ Été</t>
  </si>
  <si>
    <t>CJ Hiver</t>
  </si>
  <si>
    <t>CPRS Été</t>
  </si>
  <si>
    <t>CPRS Hiver</t>
  </si>
  <si>
    <t>Résolu</t>
  </si>
  <si>
    <t>SEPM</t>
  </si>
  <si>
    <t>PEU</t>
  </si>
  <si>
    <t>Feuillus</t>
  </si>
  <si>
    <t>Multifonctionnelle</t>
  </si>
  <si>
    <t>Bois long avec Ébrancheuse</t>
  </si>
  <si>
    <t>Autre Feuillu</t>
  </si>
  <si>
    <t>BOP</t>
  </si>
  <si>
    <t>BOJ</t>
  </si>
  <si>
    <t>Résineux</t>
  </si>
  <si>
    <t>Bois long avec Écimeur</t>
  </si>
  <si>
    <t>-</t>
  </si>
  <si>
    <t>Annuel</t>
  </si>
  <si>
    <t>Équipement</t>
  </si>
  <si>
    <t>Abatteuse semi-mécanisé</t>
  </si>
  <si>
    <t>Abatteuse gros mécanisé</t>
  </si>
  <si>
    <t>Abatteuse Multifonctionnelle</t>
  </si>
  <si>
    <t>Bélier D-5</t>
  </si>
  <si>
    <t>Bélier D-6</t>
  </si>
  <si>
    <t>Bélier D-7</t>
  </si>
  <si>
    <t>Bélier D-8</t>
  </si>
  <si>
    <t>Camion à gravier (tout venant)</t>
  </si>
  <si>
    <t>Camion à gravier (roche)</t>
  </si>
  <si>
    <t>Camion (remorque</t>
  </si>
  <si>
    <t>Chargeuse 10 roues</t>
  </si>
  <si>
    <t>Chargeuse sur roues (Liebherr)</t>
  </si>
  <si>
    <t>Débusqueuse à grappin (748+)</t>
  </si>
  <si>
    <t>Débusqueuse à grappin (648)</t>
  </si>
  <si>
    <t>Débusuqueuse à câbles (640)</t>
  </si>
  <si>
    <t>Débusuqueuse à câbles (230)</t>
  </si>
  <si>
    <t xml:space="preserve">Ébrancheuse </t>
  </si>
  <si>
    <t>Loader</t>
  </si>
  <si>
    <t>Niveleuse (740)</t>
  </si>
  <si>
    <t>Niveleuse (toutes roues motrices)</t>
  </si>
  <si>
    <t>Pelle hydraulique (300,270)</t>
  </si>
  <si>
    <t>Pelle hydraulique (892)</t>
  </si>
  <si>
    <t>Pelle hydraulique (160)</t>
  </si>
  <si>
    <t>Transporteur</t>
  </si>
  <si>
    <t>Pelle et loader (pit hiver) 100heures+</t>
  </si>
  <si>
    <t>Pelle et loader (pit hiver) 70-100 heures</t>
  </si>
  <si>
    <t>Taux ($/hmp)</t>
  </si>
  <si>
    <t>2244*</t>
  </si>
  <si>
    <t>1570*</t>
  </si>
  <si>
    <t>Écimeur: 1=Oui, 0=Non</t>
  </si>
  <si>
    <t>Transport (chargement)</t>
  </si>
  <si>
    <t>Chemin d'été (m)</t>
  </si>
  <si>
    <t>Chemin d'hiver (m)</t>
  </si>
  <si>
    <t>Réfection (m)</t>
  </si>
  <si>
    <t>Bois Long</t>
  </si>
  <si>
    <t>Tonne</t>
  </si>
  <si>
    <t>Productivité (tonne/HMP)</t>
  </si>
  <si>
    <t>Total $/m3</t>
  </si>
  <si>
    <t>Vacance/Congé ($/tonne)</t>
  </si>
  <si>
    <t>LEMANCEAU_COURT</t>
  </si>
  <si>
    <t>PET</t>
  </si>
  <si>
    <t xml:space="preserve"> BDR ($/m3)</t>
  </si>
  <si>
    <t>Entretien ($/m³)</t>
  </si>
  <si>
    <t>Gestion Travaux ($/m³)</t>
  </si>
  <si>
    <t>prix bord de route avant chargement et transport</t>
  </si>
  <si>
    <t>Chargement ($/TMV)</t>
  </si>
  <si>
    <t>Tansport ($/tmv)</t>
  </si>
  <si>
    <t>Total ($/tmv)</t>
  </si>
  <si>
    <t>hebergement</t>
  </si>
  <si>
    <t>Lemanceau_chemin</t>
  </si>
  <si>
    <t>Construction de chemin+gravelage</t>
  </si>
  <si>
    <t>gravier</t>
  </si>
  <si>
    <t>fardier</t>
  </si>
  <si>
    <t>ponceau+membrane</t>
  </si>
  <si>
    <t>congé</t>
  </si>
  <si>
    <t>admin 7%</t>
  </si>
  <si>
    <t>prix en dollard</t>
  </si>
  <si>
    <t>prix au m³</t>
  </si>
  <si>
    <t>total</t>
  </si>
  <si>
    <t>activité</t>
  </si>
  <si>
    <t>version gil</t>
  </si>
  <si>
    <t>version lmg</t>
  </si>
  <si>
    <t>réfection 1000$/km 4.9 km</t>
  </si>
  <si>
    <t>refection 1500$ km 2.9 km</t>
  </si>
  <si>
    <t>refection 3500$/km 1.5 km</t>
  </si>
  <si>
    <t>refection 4500 $/km 1.8 km</t>
  </si>
  <si>
    <t>contruction 7000$/km 1.8 km</t>
  </si>
  <si>
    <t>prix dans onglet total</t>
  </si>
  <si>
    <t>2033.70 km</t>
  </si>
  <si>
    <t>refection</t>
  </si>
  <si>
    <t>construction</t>
  </si>
  <si>
    <t>2200$/km</t>
  </si>
  <si>
    <t>166.3$/km</t>
  </si>
  <si>
    <t>écart entre gil et lmg</t>
  </si>
  <si>
    <t>FOREX INC-DIVISION FERME-NEUVE</t>
  </si>
  <si>
    <t>SAISON 2016-2017</t>
  </si>
  <si>
    <t>CHANTIER:</t>
  </si>
  <si>
    <t>INFRASTRUCTURE DANS CPRS</t>
  </si>
  <si>
    <t>PREMIÈRE PARTIE</t>
  </si>
  <si>
    <t>CHEMINS</t>
  </si>
  <si>
    <t>BRANCHES LEGÈRE</t>
  </si>
  <si>
    <t>BRANCHES FORTES</t>
  </si>
  <si>
    <t>BRANCHES ET FORMES LÉGÈRE</t>
  </si>
  <si>
    <t>BRANCHES FORTES PLUS DE MISE EN FORME</t>
  </si>
  <si>
    <t>CONSTRUCTION ÉTÉ</t>
  </si>
  <si>
    <t>CONSTRUCTION HIVER</t>
  </si>
  <si>
    <t xml:space="preserve">RÉFECTION MAJEURE </t>
  </si>
  <si>
    <t>PONCEAUX</t>
  </si>
  <si>
    <t>DISTANCES</t>
  </si>
  <si>
    <t>TAUX</t>
  </si>
  <si>
    <t xml:space="preserve">MONTANTS </t>
  </si>
  <si>
    <t>CUMUL</t>
  </si>
  <si>
    <t>KM</t>
  </si>
  <si>
    <t>JUSQU’À 1800</t>
  </si>
  <si>
    <t>1800 ET +</t>
  </si>
  <si>
    <t>Prix d'installation+fourniture ($/m)</t>
  </si>
  <si>
    <t>transport</t>
  </si>
  <si>
    <t>total ponceau</t>
  </si>
  <si>
    <t>grand total</t>
  </si>
  <si>
    <t>supervision+camp+véhicules+hebergement</t>
  </si>
  <si>
    <t>GRAND TOTAL</t>
  </si>
  <si>
    <t>LEMANCEAU _CHEMIN_OUEST</t>
  </si>
  <si>
    <t>OFFRE DU  28-06-16</t>
  </si>
  <si>
    <t>donc</t>
  </si>
  <si>
    <t>chemin complet</t>
  </si>
  <si>
    <t>gravel</t>
  </si>
  <si>
    <t>cout total</t>
  </si>
  <si>
    <t>gravelage</t>
  </si>
  <si>
    <t xml:space="preserve">Technique+RNI ($/m3) </t>
  </si>
  <si>
    <t>contruction de chemin</t>
  </si>
  <si>
    <t>prix selon entente sur voirie forestière partie est et ouest</t>
  </si>
  <si>
    <t>LEMANCEAU _CHEMIN_EST</t>
  </si>
  <si>
    <t>HEURES</t>
  </si>
  <si>
    <t>MONTANT$</t>
  </si>
  <si>
    <t>DISTANCE REEL KM</t>
  </si>
  <si>
    <t>TAUX MACHINE$</t>
  </si>
  <si>
    <t>GAIN OU PERTE$</t>
  </si>
  <si>
    <t>TAUX AU KM RÉEL</t>
  </si>
  <si>
    <t>COÛT PONCEAUX $</t>
  </si>
  <si>
    <t>reste de l'argent pour 1x 300 mm</t>
  </si>
  <si>
    <t>avec la survillance que l'on a fait on doit déjà etre négatif</t>
  </si>
  <si>
    <t>prix forex</t>
  </si>
  <si>
    <t>PEU_DÉROULAGE</t>
  </si>
  <si>
    <t>PERTE BOP ET PEU</t>
  </si>
  <si>
    <t>ÉCART THÉORIQUE</t>
  </si>
  <si>
    <t>ÉCART RÉEL</t>
  </si>
  <si>
    <t>version_FINAL ENTENTE PRIX FOREX</t>
  </si>
  <si>
    <t>mise à jour: 02-07-16</t>
  </si>
  <si>
    <t>OFFRE DU  02-08-16 version 3</t>
  </si>
  <si>
    <t>mis à jour</t>
  </si>
  <si>
    <t>volume(m³)</t>
  </si>
  <si>
    <t>cprs</t>
  </si>
  <si>
    <t>essence</t>
  </si>
  <si>
    <t>destination</t>
  </si>
  <si>
    <t>Type(L/C)</t>
  </si>
  <si>
    <t>Temps Cycle</t>
  </si>
  <si>
    <t>prévus</t>
  </si>
  <si>
    <t>mesuré</t>
  </si>
  <si>
    <t>Volume  (m3) CP</t>
  </si>
  <si>
    <t>Volume  (m3) CR</t>
  </si>
  <si>
    <t>forex</t>
  </si>
  <si>
    <t>louisiana-pacific</t>
  </si>
  <si>
    <t>bnk</t>
  </si>
  <si>
    <t>Ponceau 900 (unité)</t>
  </si>
  <si>
    <t>Ponceau 1200 (unité)</t>
  </si>
  <si>
    <t>Ponceau 1500 (unité)</t>
  </si>
  <si>
    <t>Ponceau 1600 (unité)</t>
  </si>
  <si>
    <t>Ponceau 2200 (unité)</t>
  </si>
  <si>
    <t>Ponceau 2400 (unité)</t>
  </si>
  <si>
    <t>Ponceau 2700 (unité)</t>
  </si>
  <si>
    <t>Ponceau 3000 (unité)</t>
  </si>
  <si>
    <t>installation ponceau heures</t>
  </si>
  <si>
    <t>lemanceau</t>
  </si>
  <si>
    <t>BOJ-BOP-AUF</t>
  </si>
  <si>
    <t>BNK</t>
  </si>
  <si>
    <t>L/C</t>
  </si>
  <si>
    <t>Entretien_chemin (h) (26393.52$)</t>
  </si>
  <si>
    <t>POUR L'ENSEMBLE SECTEUR SI LES HOMME SE LOGE</t>
  </si>
  <si>
    <t>NON APPLICABLE</t>
  </si>
  <si>
    <t>Chemin d'été CPRS 32921$</t>
  </si>
  <si>
    <t>Réfection (hrs) taux(2000$/km)22909$</t>
  </si>
  <si>
    <t>AU 16 JUILLET 17295$ DÉPENSÉ</t>
  </si>
  <si>
    <t>Gravellage ($)</t>
  </si>
  <si>
    <t xml:space="preserve">INCLUS SURVEILLANCE </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</si>
</sst>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8" formatCode="#,##0.00\ &quot;$&quot;_);[Red]\(#,##0.00\ &quot;$&quot;\)"/>
    <numFmt numFmtId="43" formatCode="_ * #,##0.00_)\ _$_ ;_ * \(#,##0.00\)\ _$_ ;_ * &quot;-&quot;??_)\ _$_ ;_ @_ "/>
    <numFmt numFmtId="164" formatCode="#,##0.00\ &quot;$&quot;_-"/>
    <numFmt numFmtId="165" formatCode="0.000"/>
    <numFmt numFmtId="166" formatCode="#,##0.00\ &quot;$&quot;"/>
    <numFmt numFmtId="167" formatCode="0.00_);[Red]\(0.00\)"/>
    <numFmt numFmtId="168" formatCode="0.0000"/>
    <numFmt numFmtId="169" formatCode="0.0%"/>
    <numFmt numFmtId="170" formatCode="_ * #,##0_)\ _$_ ;_ * \(#,##0\)\ _$_ ;_ * &quot;-&quot;??_)\ _$_ ;_ @_ "/>
    <numFmt numFmtId="171" formatCode="#,##0_);\(#,##0\)"/>
  </numFmts>
  <fonts count="14" x14ac:knownFonts="1">
    <font>
      <sz val="11"/>
      <color theme="1"/>
      <name val="Calibri"/>
      <family val="2"/>
      <scheme val="minor"/>
    </font>
    <font>
      <sz val="14"/>
      <color theme="1"/>
      <name val="Calibri"/>
      <family val="2"/>
      <scheme val="minor"/>
    </font>
    <font>
      <sz val="10"/>
      <name val="Arial"/>
      <family val="2"/>
    </font>
    <font>
      <sz val="11"/>
      <color theme="1"/>
      <name val="Calibri"/>
      <family val="2"/>
      <scheme val="minor"/>
    </font>
    <font>
      <strike/>
      <sz val="11"/>
      <color theme="1"/>
      <name val="Calibri"/>
      <family val="2"/>
      <scheme val="minor"/>
    </font>
    <font>
      <sz val="16"/>
      <color theme="1"/>
      <name val="Calibri"/>
      <family val="2"/>
      <scheme val="minor"/>
    </font>
    <font>
      <sz val="14"/>
      <name val="Calibri"/>
      <family val="2"/>
      <scheme val="minor"/>
    </font>
    <font>
      <sz val="11"/>
      <name val="Calibri"/>
      <family val="2"/>
      <scheme val="minor"/>
    </font>
    <font>
      <sz val="9"/>
      <color indexed="81"/>
      <name val="Tahoma"/>
      <family val="2"/>
    </font>
    <font>
      <b/>
      <sz val="9"/>
      <color indexed="81"/>
      <name val="Tahoma"/>
      <family val="2"/>
    </font>
    <font>
      <b/>
      <sz val="11"/>
      <color theme="1"/>
      <name val="Calibri"/>
      <family val="2"/>
      <scheme val="minor"/>
    </font>
    <font>
      <b/>
      <sz val="11"/>
      <color theme="0"/>
      <name val="Calibri"/>
      <family val="2"/>
      <scheme val="minor"/>
    </font>
    <font>
      <sz val="11"/>
      <color theme="0"/>
      <name val="Calibri"/>
      <family val="2"/>
      <scheme val="minor"/>
    </font>
    <font>
      <b/>
      <sz val="11"/>
      <color rgb="FFFF0000"/>
      <name val="Calibri"/>
      <family val="2"/>
      <scheme val="minor"/>
    </font>
  </fonts>
  <fills count="15">
    <fill>
      <patternFill patternType="none"/>
    </fill>
    <fill>
      <patternFill patternType="gray125"/>
    </fill>
    <fill>
      <patternFill patternType="solid">
        <fgColor theme="0"/>
        <bgColor indexed="64"/>
      </patternFill>
    </fill>
    <fill>
      <patternFill patternType="solid">
        <fgColor theme="0" tint="-0.249977111117893"/>
        <bgColor indexed="64"/>
      </patternFill>
    </fill>
    <fill>
      <patternFill patternType="solid">
        <fgColor theme="6" tint="-0.249977111117893"/>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rgb="FFFFFF00"/>
        <bgColor indexed="64"/>
      </patternFill>
    </fill>
    <fill>
      <patternFill patternType="solid">
        <fgColor rgb="FFFFC000"/>
        <bgColor indexed="64"/>
      </patternFill>
    </fill>
    <fill>
      <patternFill patternType="solid">
        <fgColor rgb="FF7030A0"/>
        <bgColor indexed="64"/>
      </patternFill>
    </fill>
    <fill>
      <patternFill patternType="solid">
        <fgColor rgb="FF92D050"/>
        <bgColor indexed="64"/>
      </patternFill>
    </fill>
    <fill>
      <patternFill patternType="solid">
        <fgColor rgb="FF00B0F0"/>
        <bgColor indexed="64"/>
      </patternFill>
    </fill>
    <fill>
      <patternFill patternType="solid">
        <fgColor theme="0" tint="-4.9989318521683403E-2"/>
        <bgColor indexed="64"/>
      </patternFill>
    </fill>
    <fill>
      <patternFill patternType="solid">
        <fgColor theme="0" tint="-0.14999847407452621"/>
        <bgColor indexed="64"/>
      </patternFill>
    </fill>
  </fills>
  <borders count="8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diagonal/>
    </border>
    <border>
      <left/>
      <right/>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thin">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right style="thin">
        <color indexed="64"/>
      </right>
      <top style="medium">
        <color indexed="64"/>
      </top>
      <bottom/>
      <diagonal/>
    </border>
    <border>
      <left/>
      <right style="thin">
        <color indexed="64"/>
      </right>
      <top style="thin">
        <color indexed="64"/>
      </top>
      <bottom/>
      <diagonal/>
    </border>
    <border>
      <left/>
      <right style="thin">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right/>
      <top style="medium">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diagonal/>
    </border>
    <border>
      <left style="thin">
        <color indexed="64"/>
      </left>
      <right/>
      <top style="thin">
        <color indexed="64"/>
      </top>
      <bottom/>
      <diagonal/>
    </border>
    <border>
      <left style="thin">
        <color indexed="64"/>
      </left>
      <right/>
      <top style="medium">
        <color indexed="64"/>
      </top>
      <bottom style="medium">
        <color indexed="64"/>
      </bottom>
      <diagonal/>
    </border>
    <border>
      <left style="thin">
        <color indexed="64"/>
      </left>
      <right/>
      <top style="medium">
        <color indexed="64"/>
      </top>
      <bottom style="thin">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top/>
      <bottom style="medium">
        <color indexed="64"/>
      </bottom>
      <diagonal/>
    </border>
    <border>
      <left/>
      <right style="medium">
        <color indexed="64"/>
      </right>
      <top/>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top/>
      <bottom/>
      <diagonal/>
    </border>
    <border>
      <left style="thin">
        <color indexed="64"/>
      </left>
      <right/>
      <top/>
      <bottom/>
      <diagonal/>
    </border>
    <border>
      <left style="thin">
        <color indexed="64"/>
      </left>
      <right/>
      <top style="medium">
        <color indexed="64"/>
      </top>
      <bottom/>
      <diagonal/>
    </border>
    <border>
      <left/>
      <right/>
      <top/>
      <bottom style="thin">
        <color indexed="64"/>
      </bottom>
      <diagonal/>
    </border>
    <border>
      <left/>
      <right/>
      <top style="thin">
        <color indexed="64"/>
      </top>
      <bottom style="thin">
        <color indexed="64"/>
      </bottom>
      <diagonal/>
    </border>
    <border>
      <left/>
      <right/>
      <top style="thin">
        <color indexed="64"/>
      </top>
      <bottom/>
      <diagonal/>
    </border>
    <border>
      <left/>
      <right/>
      <top style="medium">
        <color indexed="64"/>
      </top>
      <bottom style="thin">
        <color indexed="64"/>
      </bottom>
      <diagonal/>
    </border>
    <border>
      <left/>
      <right/>
      <top style="thin">
        <color indexed="64"/>
      </top>
      <bottom style="medium">
        <color indexed="64"/>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905">
    <xf numFmtId="0" fontId="0" fillId="0" borderId="0" xfId="0"/>
    <xf numFmtId="0" fontId="0" fillId="0" borderId="0" xfId="0" applyAlignment="1"/>
    <xf numFmtId="0" fontId="0" fillId="0" borderId="4" xfId="0" applyBorder="1" applyAlignment="1">
      <alignment horizontal="left" vertical="center"/>
    </xf>
    <xf numFmtId="0" fontId="0" fillId="0" borderId="4" xfId="0" applyBorder="1"/>
    <xf numFmtId="0" fontId="0" fillId="0" borderId="4" xfId="0" applyFill="1" applyBorder="1"/>
    <xf numFmtId="0" fontId="0" fillId="0" borderId="2" xfId="0" applyBorder="1" applyAlignment="1">
      <alignment horizontal="left" vertical="center"/>
    </xf>
    <xf numFmtId="0" fontId="0" fillId="0" borderId="3" xfId="0" applyBorder="1" applyAlignment="1">
      <alignment horizontal="center" vertical="center"/>
    </xf>
    <xf numFmtId="0" fontId="0" fillId="0" borderId="6" xfId="0" applyBorder="1"/>
    <xf numFmtId="0" fontId="0" fillId="0" borderId="0" xfId="0" applyBorder="1" applyAlignment="1">
      <alignment horizontal="center"/>
    </xf>
    <xf numFmtId="0" fontId="0" fillId="0" borderId="12" xfId="0" applyBorder="1"/>
    <xf numFmtId="0" fontId="0" fillId="0" borderId="0" xfId="0"/>
    <xf numFmtId="0" fontId="1" fillId="0" borderId="0" xfId="0" applyFont="1" applyAlignment="1">
      <alignment vertical="center"/>
    </xf>
    <xf numFmtId="2" fontId="0" fillId="0" borderId="1" xfId="0" applyNumberFormat="1" applyFill="1" applyBorder="1" applyAlignment="1">
      <alignment horizontal="center" vertical="center"/>
    </xf>
    <xf numFmtId="0" fontId="0" fillId="0" borderId="12" xfId="0" applyFill="1" applyBorder="1" applyAlignment="1">
      <alignment horizontal="left" vertical="center"/>
    </xf>
    <xf numFmtId="0" fontId="0" fillId="0" borderId="0" xfId="0" applyAlignment="1">
      <alignment horizontal="center"/>
    </xf>
    <xf numFmtId="0" fontId="0" fillId="0" borderId="23" xfId="0" applyBorder="1" applyAlignment="1">
      <alignment horizontal="center"/>
    </xf>
    <xf numFmtId="2" fontId="0" fillId="0" borderId="5" xfId="0" applyNumberFormat="1" applyBorder="1" applyAlignment="1">
      <alignment horizontal="center" vertical="center"/>
    </xf>
    <xf numFmtId="2" fontId="0" fillId="0" borderId="5" xfId="0" applyNumberFormat="1" applyBorder="1" applyAlignment="1">
      <alignment horizontal="center"/>
    </xf>
    <xf numFmtId="2" fontId="0" fillId="2" borderId="8" xfId="0" applyNumberFormat="1" applyFill="1" applyBorder="1" applyAlignment="1">
      <alignment horizontal="center" vertical="center"/>
    </xf>
    <xf numFmtId="2" fontId="0" fillId="2" borderId="3" xfId="0" applyNumberFormat="1" applyFill="1" applyBorder="1" applyAlignment="1">
      <alignment horizontal="center" vertical="center"/>
    </xf>
    <xf numFmtId="2" fontId="0" fillId="0" borderId="36" xfId="0" applyNumberFormat="1" applyBorder="1" applyAlignment="1">
      <alignment horizontal="center" vertical="center"/>
    </xf>
    <xf numFmtId="2" fontId="0" fillId="0" borderId="21" xfId="0" applyNumberFormat="1" applyBorder="1" applyAlignment="1">
      <alignment horizontal="center" vertical="center"/>
    </xf>
    <xf numFmtId="2" fontId="0" fillId="0" borderId="40" xfId="0" applyNumberFormat="1" applyBorder="1" applyAlignment="1">
      <alignment horizontal="center" vertical="center"/>
    </xf>
    <xf numFmtId="0" fontId="0" fillId="0" borderId="42" xfId="0" applyBorder="1" applyAlignment="1">
      <alignment horizontal="left" vertical="center"/>
    </xf>
    <xf numFmtId="0" fontId="0" fillId="0" borderId="43" xfId="0" applyBorder="1" applyAlignment="1">
      <alignment horizontal="left" vertical="center"/>
    </xf>
    <xf numFmtId="0" fontId="0" fillId="0" borderId="43" xfId="0" applyBorder="1"/>
    <xf numFmtId="0" fontId="0" fillId="0" borderId="44" xfId="0" applyBorder="1"/>
    <xf numFmtId="0" fontId="0" fillId="0" borderId="42" xfId="0" applyBorder="1"/>
    <xf numFmtId="0" fontId="0" fillId="0" borderId="23" xfId="0" applyBorder="1"/>
    <xf numFmtId="0" fontId="0" fillId="0" borderId="47" xfId="0" applyBorder="1" applyAlignment="1">
      <alignment horizontal="left" vertical="center"/>
    </xf>
    <xf numFmtId="0" fontId="0" fillId="0" borderId="2" xfId="0" applyBorder="1" applyAlignment="1">
      <alignment horizontal="center" vertical="center"/>
    </xf>
    <xf numFmtId="2" fontId="0" fillId="2" borderId="5" xfId="0" applyNumberFormat="1" applyFill="1" applyBorder="1" applyAlignment="1">
      <alignment horizontal="center" vertical="center"/>
    </xf>
    <xf numFmtId="0" fontId="0" fillId="0" borderId="12" xfId="0" applyBorder="1" applyAlignment="1">
      <alignment horizontal="center"/>
    </xf>
    <xf numFmtId="0" fontId="0" fillId="0" borderId="13" xfId="0" applyBorder="1" applyAlignment="1">
      <alignment horizontal="center"/>
    </xf>
    <xf numFmtId="2" fontId="0" fillId="2" borderId="21" xfId="0" applyNumberFormat="1" applyFill="1" applyBorder="1" applyAlignment="1">
      <alignment horizontal="center" vertical="center"/>
    </xf>
    <xf numFmtId="0" fontId="0" fillId="0" borderId="15" xfId="0" applyBorder="1" applyAlignment="1">
      <alignment horizontal="center" vertical="center"/>
    </xf>
    <xf numFmtId="2" fontId="0" fillId="0" borderId="5" xfId="0" applyNumberFormat="1" applyFill="1" applyBorder="1" applyAlignment="1">
      <alignment horizontal="center"/>
    </xf>
    <xf numFmtId="2" fontId="0" fillId="0" borderId="5" xfId="0" applyNumberFormat="1" applyFill="1" applyBorder="1" applyAlignment="1">
      <alignment horizontal="center" vertical="center"/>
    </xf>
    <xf numFmtId="0" fontId="0" fillId="0" borderId="25" xfId="0" applyBorder="1" applyAlignment="1">
      <alignment horizontal="center" vertical="center"/>
    </xf>
    <xf numFmtId="0" fontId="0" fillId="0" borderId="23" xfId="0" applyBorder="1" applyAlignment="1">
      <alignment horizontal="center" vertical="center"/>
    </xf>
    <xf numFmtId="10" fontId="0" fillId="0" borderId="5" xfId="0" applyNumberFormat="1" applyFill="1" applyBorder="1" applyAlignment="1">
      <alignment horizontal="center" vertical="center"/>
    </xf>
    <xf numFmtId="0" fontId="0" fillId="0" borderId="47" xfId="0" applyBorder="1"/>
    <xf numFmtId="2" fontId="0" fillId="0" borderId="47" xfId="0" applyNumberFormat="1" applyBorder="1" applyAlignment="1">
      <alignment horizontal="center" vertical="center"/>
    </xf>
    <xf numFmtId="2" fontId="0" fillId="3" borderId="43" xfId="0" applyNumberFormat="1" applyFill="1" applyBorder="1" applyAlignment="1">
      <alignment horizontal="center" vertical="center"/>
    </xf>
    <xf numFmtId="2" fontId="0" fillId="0" borderId="43" xfId="0" applyNumberFormat="1" applyBorder="1" applyAlignment="1">
      <alignment horizontal="center" vertical="center"/>
    </xf>
    <xf numFmtId="0" fontId="0" fillId="0" borderId="46" xfId="0" applyBorder="1"/>
    <xf numFmtId="2" fontId="0" fillId="3" borderId="46" xfId="0" applyNumberFormat="1" applyFill="1" applyBorder="1" applyAlignment="1">
      <alignment horizontal="center" vertical="center"/>
    </xf>
    <xf numFmtId="2" fontId="0" fillId="3" borderId="42" xfId="0" applyNumberFormat="1" applyFill="1" applyBorder="1" applyAlignment="1">
      <alignment horizontal="center" vertical="center"/>
    </xf>
    <xf numFmtId="2" fontId="0" fillId="0" borderId="42" xfId="0" applyNumberFormat="1" applyBorder="1" applyAlignment="1">
      <alignment horizontal="center" vertical="center"/>
    </xf>
    <xf numFmtId="2" fontId="0" fillId="3" borderId="44" xfId="0" applyNumberFormat="1" applyFill="1" applyBorder="1" applyAlignment="1">
      <alignment horizontal="center" vertical="center"/>
    </xf>
    <xf numFmtId="0" fontId="0" fillId="0" borderId="10" xfId="0" applyBorder="1" applyAlignment="1">
      <alignment horizontal="center" vertical="center"/>
    </xf>
    <xf numFmtId="0" fontId="0" fillId="0" borderId="0" xfId="0" applyBorder="1" applyAlignment="1">
      <alignment vertical="center"/>
    </xf>
    <xf numFmtId="2" fontId="0" fillId="0" borderId="1" xfId="0" applyNumberFormat="1" applyBorder="1" applyAlignment="1">
      <alignment horizontal="center"/>
    </xf>
    <xf numFmtId="9" fontId="0" fillId="0" borderId="1" xfId="2" applyFont="1" applyBorder="1" applyAlignment="1">
      <alignment horizontal="center"/>
    </xf>
    <xf numFmtId="2" fontId="0" fillId="0" borderId="1" xfId="0" applyNumberFormat="1" applyFill="1" applyBorder="1" applyAlignment="1">
      <alignment horizontal="center"/>
    </xf>
    <xf numFmtId="0" fontId="0" fillId="0" borderId="24" xfId="0" applyBorder="1" applyAlignment="1">
      <alignment horizontal="center"/>
    </xf>
    <xf numFmtId="0" fontId="0" fillId="0" borderId="2" xfId="0" applyBorder="1" applyAlignment="1">
      <alignment horizontal="center"/>
    </xf>
    <xf numFmtId="0" fontId="0" fillId="0" borderId="8" xfId="0" applyBorder="1" applyAlignment="1">
      <alignment horizontal="center"/>
    </xf>
    <xf numFmtId="0" fontId="0" fillId="0" borderId="3" xfId="0" applyBorder="1" applyAlignment="1">
      <alignment horizontal="center"/>
    </xf>
    <xf numFmtId="0" fontId="0" fillId="0" borderId="0" xfId="0" applyBorder="1" applyAlignment="1">
      <alignment horizontal="center" vertical="center"/>
    </xf>
    <xf numFmtId="0" fontId="0" fillId="0" borderId="0" xfId="0" applyBorder="1"/>
    <xf numFmtId="2" fontId="0" fillId="0" borderId="35" xfId="0" applyNumberFormat="1" applyBorder="1" applyAlignment="1">
      <alignment horizontal="center"/>
    </xf>
    <xf numFmtId="2" fontId="0" fillId="0" borderId="0" xfId="0" applyNumberFormat="1" applyFill="1" applyBorder="1" applyAlignment="1">
      <alignment horizontal="center" vertical="center"/>
    </xf>
    <xf numFmtId="10" fontId="0" fillId="5" borderId="5" xfId="0" applyNumberFormat="1" applyFill="1" applyBorder="1" applyAlignment="1">
      <alignment horizontal="center"/>
    </xf>
    <xf numFmtId="0" fontId="0" fillId="0" borderId="20" xfId="0" applyBorder="1" applyAlignment="1">
      <alignment horizontal="center"/>
    </xf>
    <xf numFmtId="2" fontId="0" fillId="5" borderId="9" xfId="0" applyNumberFormat="1" applyFill="1" applyBorder="1" applyAlignment="1">
      <alignment horizontal="center" vertical="center"/>
    </xf>
    <xf numFmtId="2" fontId="0" fillId="5" borderId="21" xfId="0" applyNumberFormat="1" applyFill="1" applyBorder="1" applyAlignment="1">
      <alignment horizontal="center" vertical="center"/>
    </xf>
    <xf numFmtId="2" fontId="0" fillId="5" borderId="1" xfId="0" applyNumberFormat="1" applyFill="1" applyBorder="1" applyAlignment="1">
      <alignment horizontal="center" vertical="center"/>
    </xf>
    <xf numFmtId="2" fontId="0" fillId="5" borderId="5" xfId="0" applyNumberFormat="1" applyFill="1" applyBorder="1" applyAlignment="1">
      <alignment horizontal="center" vertical="center"/>
    </xf>
    <xf numFmtId="2" fontId="0" fillId="5" borderId="35" xfId="0" applyNumberFormat="1" applyFill="1" applyBorder="1" applyAlignment="1">
      <alignment horizontal="center" vertical="center"/>
    </xf>
    <xf numFmtId="2" fontId="0" fillId="5" borderId="8" xfId="0" applyNumberFormat="1" applyFill="1" applyBorder="1" applyAlignment="1">
      <alignment horizontal="center"/>
    </xf>
    <xf numFmtId="2" fontId="0" fillId="5" borderId="3" xfId="0" applyNumberFormat="1" applyFill="1" applyBorder="1" applyAlignment="1">
      <alignment horizontal="center"/>
    </xf>
    <xf numFmtId="2" fontId="0" fillId="5" borderId="7" xfId="0" applyNumberFormat="1" applyFill="1" applyBorder="1" applyAlignment="1">
      <alignment horizontal="center" vertical="center"/>
    </xf>
    <xf numFmtId="2" fontId="0" fillId="5" borderId="20" xfId="0" applyNumberFormat="1" applyFill="1" applyBorder="1" applyAlignment="1">
      <alignment horizontal="center"/>
    </xf>
    <xf numFmtId="2" fontId="0" fillId="5" borderId="22" xfId="0" applyNumberFormat="1" applyFill="1" applyBorder="1" applyAlignment="1">
      <alignment horizontal="center" vertical="center"/>
    </xf>
    <xf numFmtId="2" fontId="0" fillId="5" borderId="1" xfId="0" applyNumberFormat="1" applyFill="1" applyBorder="1" applyAlignment="1">
      <alignment horizontal="center"/>
    </xf>
    <xf numFmtId="2" fontId="0" fillId="5" borderId="5" xfId="0" applyNumberFormat="1" applyFill="1" applyBorder="1" applyAlignment="1">
      <alignment horizontal="center"/>
    </xf>
    <xf numFmtId="2" fontId="0" fillId="4" borderId="45" xfId="0" applyNumberFormat="1" applyFill="1" applyBorder="1" applyAlignment="1">
      <alignment horizontal="center" vertical="center"/>
    </xf>
    <xf numFmtId="2" fontId="0" fillId="4" borderId="37" xfId="0" applyNumberFormat="1" applyFill="1" applyBorder="1" applyAlignment="1">
      <alignment horizontal="center" vertical="center"/>
    </xf>
    <xf numFmtId="2" fontId="0" fillId="4" borderId="15" xfId="0" applyNumberFormat="1" applyFill="1" applyBorder="1" applyAlignment="1">
      <alignment horizontal="center" vertical="center"/>
    </xf>
    <xf numFmtId="2" fontId="0" fillId="4" borderId="41" xfId="0" applyNumberFormat="1" applyFill="1" applyBorder="1" applyAlignment="1">
      <alignment horizontal="center" vertical="center"/>
    </xf>
    <xf numFmtId="2" fontId="0" fillId="4" borderId="38" xfId="0" applyNumberFormat="1" applyFill="1" applyBorder="1" applyAlignment="1">
      <alignment horizontal="center" vertical="center"/>
    </xf>
    <xf numFmtId="2" fontId="0" fillId="5" borderId="20" xfId="0" applyNumberFormat="1" applyFill="1" applyBorder="1" applyAlignment="1">
      <alignment horizontal="center" vertical="center"/>
    </xf>
    <xf numFmtId="2" fontId="0" fillId="5" borderId="8" xfId="0" applyNumberFormat="1" applyFill="1" applyBorder="1" applyAlignment="1">
      <alignment horizontal="center" vertical="center"/>
    </xf>
    <xf numFmtId="2" fontId="0" fillId="5" borderId="3" xfId="0" applyNumberFormat="1" applyFill="1" applyBorder="1" applyAlignment="1">
      <alignment horizontal="center" vertical="center"/>
    </xf>
    <xf numFmtId="2" fontId="0" fillId="5" borderId="2" xfId="0" applyNumberFormat="1" applyFill="1" applyBorder="1" applyAlignment="1">
      <alignment horizontal="center"/>
    </xf>
    <xf numFmtId="2" fontId="0" fillId="5" borderId="6" xfId="0" applyNumberFormat="1" applyFill="1" applyBorder="1" applyAlignment="1">
      <alignment horizontal="center" vertical="center"/>
    </xf>
    <xf numFmtId="2" fontId="0" fillId="4" borderId="30" xfId="0" applyNumberFormat="1" applyFill="1" applyBorder="1" applyAlignment="1">
      <alignment horizontal="center" vertical="center"/>
    </xf>
    <xf numFmtId="2" fontId="0" fillId="4" borderId="23" xfId="0" applyNumberFormat="1" applyFill="1" applyBorder="1" applyAlignment="1">
      <alignment horizontal="center" vertical="center"/>
    </xf>
    <xf numFmtId="2" fontId="0" fillId="6" borderId="5" xfId="0" applyNumberFormat="1" applyFill="1" applyBorder="1" applyAlignment="1">
      <alignment horizontal="center"/>
    </xf>
    <xf numFmtId="9" fontId="0" fillId="6" borderId="5" xfId="2" applyFont="1" applyFill="1" applyBorder="1" applyAlignment="1">
      <alignment horizontal="center"/>
    </xf>
    <xf numFmtId="2" fontId="0" fillId="6" borderId="5" xfId="0" applyNumberFormat="1" applyFill="1" applyBorder="1" applyAlignment="1">
      <alignment horizontal="center" vertical="center"/>
    </xf>
    <xf numFmtId="2" fontId="0" fillId="5" borderId="48" xfId="0" applyNumberFormat="1" applyFill="1" applyBorder="1" applyAlignment="1">
      <alignment horizontal="center" vertical="center"/>
    </xf>
    <xf numFmtId="2" fontId="0" fillId="5" borderId="13" xfId="0" applyNumberFormat="1" applyFill="1" applyBorder="1" applyAlignment="1">
      <alignment horizontal="center" vertical="center"/>
    </xf>
    <xf numFmtId="0" fontId="0" fillId="5" borderId="6" xfId="0" applyFill="1" applyBorder="1" applyAlignment="1">
      <alignment horizontal="center" vertical="center"/>
    </xf>
    <xf numFmtId="0" fontId="0" fillId="5" borderId="7" xfId="0" applyFill="1" applyBorder="1" applyAlignment="1">
      <alignment horizontal="center" vertical="center"/>
    </xf>
    <xf numFmtId="2" fontId="0" fillId="5" borderId="36" xfId="0" applyNumberFormat="1" applyFill="1" applyBorder="1" applyAlignment="1">
      <alignment horizontal="center"/>
    </xf>
    <xf numFmtId="2" fontId="0" fillId="4" borderId="30" xfId="0" applyNumberFormat="1" applyFill="1" applyBorder="1" applyAlignment="1">
      <alignment horizontal="center"/>
    </xf>
    <xf numFmtId="2" fontId="0" fillId="5" borderId="54" xfId="0" applyNumberFormat="1" applyFill="1" applyBorder="1" applyAlignment="1">
      <alignment horizontal="center" vertical="center"/>
    </xf>
    <xf numFmtId="2" fontId="0" fillId="0" borderId="56" xfId="0" applyNumberFormat="1" applyBorder="1" applyAlignment="1">
      <alignment horizontal="center" vertical="center"/>
    </xf>
    <xf numFmtId="2" fontId="0" fillId="3" borderId="57" xfId="0" applyNumberFormat="1" applyFill="1" applyBorder="1" applyAlignment="1">
      <alignment horizontal="center" vertical="center"/>
    </xf>
    <xf numFmtId="2" fontId="0" fillId="0" borderId="57" xfId="0" applyNumberFormat="1" applyBorder="1" applyAlignment="1">
      <alignment horizontal="center" vertical="center"/>
    </xf>
    <xf numFmtId="2" fontId="0" fillId="3" borderId="58" xfId="0" applyNumberFormat="1" applyFill="1" applyBorder="1" applyAlignment="1">
      <alignment horizontal="center" vertical="center"/>
    </xf>
    <xf numFmtId="2" fontId="0" fillId="0" borderId="52" xfId="0" applyNumberFormat="1" applyBorder="1" applyAlignment="1">
      <alignment horizontal="center" vertical="center"/>
    </xf>
    <xf numFmtId="2" fontId="0" fillId="3" borderId="55" xfId="0" applyNumberFormat="1" applyFill="1" applyBorder="1" applyAlignment="1">
      <alignment horizontal="center" vertical="center"/>
    </xf>
    <xf numFmtId="2" fontId="0" fillId="4" borderId="16" xfId="0" applyNumberFormat="1" applyFill="1" applyBorder="1" applyAlignment="1">
      <alignment horizontal="center" vertical="center"/>
    </xf>
    <xf numFmtId="0" fontId="0" fillId="0" borderId="25" xfId="0" applyBorder="1"/>
    <xf numFmtId="2" fontId="0" fillId="4" borderId="15" xfId="0" applyNumberFormat="1" applyFill="1" applyBorder="1" applyAlignment="1">
      <alignment horizontal="center"/>
    </xf>
    <xf numFmtId="0" fontId="0" fillId="0" borderId="42" xfId="0" applyBorder="1" applyAlignment="1">
      <alignment horizontal="center"/>
    </xf>
    <xf numFmtId="2" fontId="0" fillId="0" borderId="21" xfId="0" applyNumberFormat="1" applyFill="1" applyBorder="1" applyAlignment="1">
      <alignment horizontal="center" vertical="center"/>
    </xf>
    <xf numFmtId="0" fontId="0" fillId="0" borderId="0" xfId="0" applyFill="1" applyBorder="1"/>
    <xf numFmtId="2" fontId="0" fillId="5" borderId="36" xfId="0" applyNumberFormat="1" applyFill="1" applyBorder="1" applyAlignment="1">
      <alignment horizontal="center" vertical="center"/>
    </xf>
    <xf numFmtId="2" fontId="0" fillId="5" borderId="4" xfId="0" applyNumberFormat="1" applyFill="1" applyBorder="1" applyAlignment="1">
      <alignment horizontal="center" vertical="center"/>
    </xf>
    <xf numFmtId="2" fontId="0" fillId="5" borderId="59" xfId="0" applyNumberFormat="1" applyFill="1" applyBorder="1" applyAlignment="1">
      <alignment horizontal="center" vertical="center"/>
    </xf>
    <xf numFmtId="2" fontId="0" fillId="6" borderId="4" xfId="0" applyNumberFormat="1" applyFill="1" applyBorder="1" applyAlignment="1">
      <alignment horizontal="center" vertical="center"/>
    </xf>
    <xf numFmtId="2" fontId="0" fillId="0" borderId="4" xfId="0" applyNumberFormat="1" applyBorder="1" applyAlignment="1">
      <alignment horizontal="center" vertical="center"/>
    </xf>
    <xf numFmtId="2" fontId="0" fillId="0" borderId="6" xfId="0" applyNumberFormat="1" applyBorder="1" applyAlignment="1">
      <alignment horizontal="center" vertical="center"/>
    </xf>
    <xf numFmtId="2" fontId="0" fillId="5" borderId="2" xfId="0" applyNumberFormat="1" applyFill="1" applyBorder="1" applyAlignment="1">
      <alignment horizontal="center" vertical="center"/>
    </xf>
    <xf numFmtId="2" fontId="0" fillId="4" borderId="29" xfId="0" applyNumberFormat="1" applyFill="1" applyBorder="1" applyAlignment="1">
      <alignment horizontal="center" vertical="center"/>
    </xf>
    <xf numFmtId="2" fontId="0" fillId="2" borderId="2" xfId="0" applyNumberFormat="1" applyFill="1" applyBorder="1" applyAlignment="1">
      <alignment horizontal="center" vertical="center"/>
    </xf>
    <xf numFmtId="2" fontId="0" fillId="4" borderId="14" xfId="0" applyNumberFormat="1" applyFill="1" applyBorder="1" applyAlignment="1">
      <alignment horizontal="center" vertical="center"/>
    </xf>
    <xf numFmtId="0" fontId="0" fillId="0" borderId="48" xfId="0" applyBorder="1" applyAlignment="1">
      <alignment horizontal="center" vertical="center"/>
    </xf>
    <xf numFmtId="2" fontId="0" fillId="5" borderId="40" xfId="0" applyNumberFormat="1" applyFill="1" applyBorder="1" applyAlignment="1">
      <alignment horizontal="center" vertical="center"/>
    </xf>
    <xf numFmtId="165" fontId="0" fillId="0" borderId="53" xfId="0" applyNumberFormat="1" applyBorder="1" applyAlignment="1">
      <alignment horizontal="center"/>
    </xf>
    <xf numFmtId="165" fontId="0" fillId="0" borderId="59" xfId="0" applyNumberFormat="1" applyBorder="1" applyAlignment="1">
      <alignment horizontal="center"/>
    </xf>
    <xf numFmtId="165" fontId="0" fillId="0" borderId="54" xfId="0" applyNumberFormat="1" applyBorder="1" applyAlignment="1">
      <alignment horizontal="center"/>
    </xf>
    <xf numFmtId="0" fontId="0" fillId="0" borderId="43" xfId="0" applyFill="1" applyBorder="1"/>
    <xf numFmtId="0" fontId="0" fillId="0" borderId="44" xfId="0" applyFill="1" applyBorder="1"/>
    <xf numFmtId="10" fontId="0" fillId="0" borderId="21" xfId="0" applyNumberFormat="1" applyFill="1" applyBorder="1" applyAlignment="1">
      <alignment horizontal="center" vertical="center"/>
    </xf>
    <xf numFmtId="0" fontId="0" fillId="0" borderId="45" xfId="0" applyBorder="1" applyAlignment="1">
      <alignment horizontal="center" vertical="center"/>
    </xf>
    <xf numFmtId="0" fontId="0" fillId="0" borderId="23" xfId="0" applyBorder="1" applyAlignment="1">
      <alignment horizontal="left" vertical="center"/>
    </xf>
    <xf numFmtId="2" fontId="0" fillId="5" borderId="60" xfId="0" applyNumberFormat="1" applyFill="1" applyBorder="1" applyAlignment="1">
      <alignment horizontal="center" vertical="center"/>
    </xf>
    <xf numFmtId="2" fontId="0" fillId="0" borderId="4" xfId="0" applyNumberFormat="1" applyFill="1" applyBorder="1" applyAlignment="1">
      <alignment horizontal="center" vertical="center"/>
    </xf>
    <xf numFmtId="2" fontId="0" fillId="0" borderId="21" xfId="0" applyNumberFormat="1" applyBorder="1" applyAlignment="1">
      <alignment horizontal="center"/>
    </xf>
    <xf numFmtId="9" fontId="0" fillId="0" borderId="21" xfId="2" applyFont="1" applyBorder="1" applyAlignment="1">
      <alignment horizontal="center"/>
    </xf>
    <xf numFmtId="2" fontId="0" fillId="5" borderId="21" xfId="0" applyNumberFormat="1" applyFill="1" applyBorder="1" applyAlignment="1">
      <alignment horizontal="center"/>
    </xf>
    <xf numFmtId="2" fontId="0" fillId="0" borderId="21" xfId="0" applyNumberFormat="1" applyFill="1" applyBorder="1" applyAlignment="1">
      <alignment horizontal="center"/>
    </xf>
    <xf numFmtId="0" fontId="0" fillId="5" borderId="43" xfId="0" applyFill="1" applyBorder="1"/>
    <xf numFmtId="2" fontId="0" fillId="0" borderId="40" xfId="0" applyNumberFormat="1" applyBorder="1" applyAlignment="1">
      <alignment horizontal="center"/>
    </xf>
    <xf numFmtId="2" fontId="0" fillId="0" borderId="36" xfId="0" applyNumberFormat="1" applyBorder="1" applyAlignment="1">
      <alignment horizontal="center"/>
    </xf>
    <xf numFmtId="0" fontId="0" fillId="4" borderId="23" xfId="0" applyFill="1" applyBorder="1"/>
    <xf numFmtId="2" fontId="0" fillId="4" borderId="45" xfId="0" applyNumberFormat="1" applyFill="1" applyBorder="1" applyAlignment="1">
      <alignment horizontal="center"/>
    </xf>
    <xf numFmtId="2" fontId="0" fillId="4" borderId="37" xfId="0" applyNumberFormat="1" applyFill="1" applyBorder="1" applyAlignment="1">
      <alignment horizontal="center"/>
    </xf>
    <xf numFmtId="0" fontId="0" fillId="0" borderId="36" xfId="0" applyBorder="1" applyAlignment="1">
      <alignment horizontal="center"/>
    </xf>
    <xf numFmtId="2" fontId="0" fillId="4" borderId="14" xfId="0" applyNumberFormat="1" applyFill="1" applyBorder="1" applyAlignment="1">
      <alignment horizontal="center"/>
    </xf>
    <xf numFmtId="2" fontId="0" fillId="0" borderId="40" xfId="0" applyNumberFormat="1" applyFill="1" applyBorder="1" applyAlignment="1">
      <alignment horizontal="center" vertical="center"/>
    </xf>
    <xf numFmtId="2" fontId="0" fillId="0" borderId="36" xfId="0" applyNumberFormat="1" applyFill="1" applyBorder="1" applyAlignment="1">
      <alignment horizontal="center" vertical="center"/>
    </xf>
    <xf numFmtId="0" fontId="0" fillId="0" borderId="48" xfId="0" applyBorder="1" applyAlignment="1">
      <alignment horizontal="center"/>
    </xf>
    <xf numFmtId="2" fontId="0" fillId="0" borderId="60" xfId="0" applyNumberFormat="1" applyBorder="1" applyAlignment="1">
      <alignment horizontal="center" vertical="center"/>
    </xf>
    <xf numFmtId="9" fontId="0" fillId="0" borderId="59" xfId="2" applyFont="1" applyBorder="1" applyAlignment="1">
      <alignment horizontal="center" vertical="center"/>
    </xf>
    <xf numFmtId="2" fontId="0" fillId="5" borderId="59" xfId="0" applyNumberFormat="1" applyFill="1" applyBorder="1" applyAlignment="1">
      <alignment horizontal="center"/>
    </xf>
    <xf numFmtId="2" fontId="0" fillId="0" borderId="59" xfId="0" applyNumberFormat="1" applyFill="1" applyBorder="1" applyAlignment="1">
      <alignment horizontal="center"/>
    </xf>
    <xf numFmtId="2" fontId="0" fillId="0" borderId="59" xfId="0" applyNumberFormat="1" applyBorder="1" applyAlignment="1">
      <alignment horizontal="center"/>
    </xf>
    <xf numFmtId="2" fontId="0" fillId="0" borderId="61" xfId="0" applyNumberFormat="1" applyBorder="1" applyAlignment="1">
      <alignment horizontal="center"/>
    </xf>
    <xf numFmtId="2" fontId="0" fillId="4" borderId="23" xfId="0" applyNumberFormat="1" applyFill="1" applyBorder="1" applyAlignment="1">
      <alignment horizontal="center"/>
    </xf>
    <xf numFmtId="2" fontId="0" fillId="0" borderId="60" xfId="0" applyNumberFormat="1" applyBorder="1" applyAlignment="1">
      <alignment horizontal="center"/>
    </xf>
    <xf numFmtId="2" fontId="0" fillId="5" borderId="60" xfId="0" applyNumberFormat="1" applyFill="1" applyBorder="1" applyAlignment="1">
      <alignment horizontal="center"/>
    </xf>
    <xf numFmtId="0" fontId="0" fillId="5" borderId="42" xfId="0" applyFill="1" applyBorder="1"/>
    <xf numFmtId="2" fontId="0" fillId="0" borderId="61" xfId="0" applyNumberFormat="1" applyFill="1" applyBorder="1" applyAlignment="1">
      <alignment horizontal="center"/>
    </xf>
    <xf numFmtId="2" fontId="0" fillId="4" borderId="17" xfId="0" applyNumberFormat="1" applyFill="1" applyBorder="1" applyAlignment="1">
      <alignment horizontal="center"/>
    </xf>
    <xf numFmtId="0" fontId="0" fillId="5" borderId="42" xfId="0" applyFill="1" applyBorder="1" applyAlignment="1">
      <alignment horizontal="left" vertical="center"/>
    </xf>
    <xf numFmtId="0" fontId="0" fillId="5" borderId="43" xfId="0" applyFill="1" applyBorder="1" applyAlignment="1">
      <alignment horizontal="left" vertical="center"/>
    </xf>
    <xf numFmtId="2" fontId="0" fillId="5" borderId="53" xfId="0" applyNumberFormat="1" applyFill="1" applyBorder="1" applyAlignment="1">
      <alignment horizontal="center"/>
    </xf>
    <xf numFmtId="165" fontId="0" fillId="4" borderId="11" xfId="0" applyNumberFormat="1" applyFill="1" applyBorder="1" applyAlignment="1">
      <alignment horizontal="center"/>
    </xf>
    <xf numFmtId="9" fontId="0" fillId="0" borderId="59" xfId="2" applyFont="1" applyBorder="1" applyAlignment="1">
      <alignment horizontal="center"/>
    </xf>
    <xf numFmtId="43" fontId="0" fillId="0" borderId="59" xfId="1" applyFont="1" applyBorder="1" applyAlignment="1">
      <alignment horizontal="center"/>
    </xf>
    <xf numFmtId="0" fontId="0" fillId="5" borderId="46" xfId="0" applyFill="1" applyBorder="1"/>
    <xf numFmtId="0" fontId="1" fillId="0" borderId="0" xfId="0" applyFont="1" applyAlignment="1">
      <alignment horizontal="center" vertical="center"/>
    </xf>
    <xf numFmtId="0" fontId="0" fillId="0" borderId="57" xfId="0" applyBorder="1" applyAlignment="1">
      <alignment horizontal="left" vertical="center"/>
    </xf>
    <xf numFmtId="0" fontId="0" fillId="0" borderId="55" xfId="0" applyBorder="1"/>
    <xf numFmtId="0" fontId="0" fillId="0" borderId="10" xfId="0" applyBorder="1"/>
    <xf numFmtId="0" fontId="0" fillId="0" borderId="31" xfId="0" applyBorder="1" applyAlignment="1">
      <alignment horizontal="center"/>
    </xf>
    <xf numFmtId="0" fontId="0" fillId="0" borderId="52" xfId="0" applyBorder="1" applyAlignment="1">
      <alignment horizontal="center"/>
    </xf>
    <xf numFmtId="0" fontId="0" fillId="0" borderId="27" xfId="0" applyBorder="1" applyAlignment="1">
      <alignment horizontal="center"/>
    </xf>
    <xf numFmtId="2" fontId="0" fillId="5" borderId="12" xfId="0" applyNumberFormat="1" applyFill="1" applyBorder="1" applyAlignment="1">
      <alignment horizontal="center"/>
    </xf>
    <xf numFmtId="2" fontId="0" fillId="5" borderId="28" xfId="0" applyNumberFormat="1" applyFill="1" applyBorder="1" applyAlignment="1">
      <alignment horizontal="center"/>
    </xf>
    <xf numFmtId="2" fontId="0" fillId="5" borderId="13" xfId="0" applyNumberFormat="1" applyFill="1" applyBorder="1" applyAlignment="1">
      <alignment horizontal="center"/>
    </xf>
    <xf numFmtId="2" fontId="0" fillId="2" borderId="4" xfId="0" applyNumberFormat="1" applyFill="1" applyBorder="1" applyAlignment="1">
      <alignment horizontal="center" vertical="center"/>
    </xf>
    <xf numFmtId="0" fontId="0" fillId="5" borderId="57" xfId="0" applyFill="1" applyBorder="1" applyAlignment="1">
      <alignment horizontal="left" vertical="center"/>
    </xf>
    <xf numFmtId="0" fontId="0" fillId="5" borderId="57" xfId="0" applyFill="1" applyBorder="1"/>
    <xf numFmtId="0" fontId="0" fillId="0" borderId="57" xfId="0" applyFill="1" applyBorder="1"/>
    <xf numFmtId="0" fontId="0" fillId="4" borderId="16" xfId="0" applyFill="1" applyBorder="1"/>
    <xf numFmtId="2" fontId="0" fillId="0" borderId="34" xfId="0" applyNumberFormat="1" applyFill="1" applyBorder="1" applyAlignment="1">
      <alignment horizontal="center" vertical="center"/>
    </xf>
    <xf numFmtId="0" fontId="0" fillId="0" borderId="39" xfId="0" applyBorder="1" applyAlignment="1">
      <alignment horizontal="center"/>
    </xf>
    <xf numFmtId="10" fontId="0" fillId="0" borderId="4" xfId="0" applyNumberFormat="1" applyFill="1" applyBorder="1" applyAlignment="1">
      <alignment horizontal="center" vertical="center"/>
    </xf>
    <xf numFmtId="10" fontId="0" fillId="0" borderId="1" xfId="0" applyNumberFormat="1" applyFill="1" applyBorder="1" applyAlignment="1">
      <alignment horizontal="center" vertical="center"/>
    </xf>
    <xf numFmtId="0" fontId="0" fillId="0" borderId="56" xfId="0" applyBorder="1" applyAlignment="1">
      <alignment horizontal="left" vertical="center"/>
    </xf>
    <xf numFmtId="2" fontId="0" fillId="2" borderId="1" xfId="0" applyNumberFormat="1" applyFill="1" applyBorder="1" applyAlignment="1">
      <alignment horizontal="center" vertical="center"/>
    </xf>
    <xf numFmtId="2" fontId="0" fillId="0" borderId="2" xfId="0" applyNumberFormat="1" applyFill="1" applyBorder="1" applyAlignment="1">
      <alignment horizontal="center" vertical="center"/>
    </xf>
    <xf numFmtId="2" fontId="0" fillId="0" borderId="8" xfId="0" applyNumberFormat="1" applyFill="1" applyBorder="1" applyAlignment="1">
      <alignment horizontal="center" vertical="center"/>
    </xf>
    <xf numFmtId="2" fontId="0" fillId="0" borderId="3" xfId="0" applyNumberFormat="1" applyFill="1" applyBorder="1" applyAlignment="1">
      <alignment horizontal="center" vertical="center"/>
    </xf>
    <xf numFmtId="0" fontId="0" fillId="5" borderId="52" xfId="0" applyFill="1" applyBorder="1"/>
    <xf numFmtId="0" fontId="0" fillId="5" borderId="55" xfId="0" applyFill="1" applyBorder="1"/>
    <xf numFmtId="0" fontId="0" fillId="5" borderId="44" xfId="0" applyFill="1" applyBorder="1"/>
    <xf numFmtId="0" fontId="0" fillId="4" borderId="25" xfId="0" applyFill="1" applyBorder="1"/>
    <xf numFmtId="0" fontId="0" fillId="4" borderId="44" xfId="0" applyFill="1" applyBorder="1"/>
    <xf numFmtId="0" fontId="0" fillId="5" borderId="46" xfId="0" applyFill="1" applyBorder="1" applyAlignment="1">
      <alignment horizontal="left" vertical="center"/>
    </xf>
    <xf numFmtId="0" fontId="0" fillId="5" borderId="47" xfId="0" applyFill="1" applyBorder="1" applyAlignment="1">
      <alignment horizontal="left" vertical="center"/>
    </xf>
    <xf numFmtId="0" fontId="0" fillId="0" borderId="17" xfId="0" applyBorder="1" applyAlignment="1">
      <alignment horizontal="center" vertical="center"/>
    </xf>
    <xf numFmtId="0" fontId="1" fillId="0" borderId="0" xfId="0" applyFont="1" applyAlignment="1">
      <alignment horizontal="center" vertical="center"/>
    </xf>
    <xf numFmtId="0" fontId="0" fillId="0" borderId="52" xfId="0" applyBorder="1" applyAlignment="1">
      <alignment horizontal="center"/>
    </xf>
    <xf numFmtId="0" fontId="0" fillId="0" borderId="31" xfId="0" applyBorder="1" applyAlignment="1">
      <alignment horizontal="center"/>
    </xf>
    <xf numFmtId="2" fontId="0" fillId="5" borderId="54" xfId="0" applyNumberFormat="1" applyFill="1" applyBorder="1" applyAlignment="1">
      <alignment horizontal="center" vertical="center"/>
    </xf>
    <xf numFmtId="2" fontId="0" fillId="4" borderId="41" xfId="0" applyNumberFormat="1" applyFill="1" applyBorder="1" applyAlignment="1">
      <alignment horizontal="center"/>
    </xf>
    <xf numFmtId="0" fontId="1" fillId="0" borderId="0" xfId="0" applyFont="1" applyAlignment="1">
      <alignment horizontal="center" vertical="center"/>
    </xf>
    <xf numFmtId="0" fontId="0" fillId="0" borderId="0" xfId="0" applyFill="1" applyBorder="1" applyAlignment="1">
      <alignment horizontal="center" vertical="center"/>
    </xf>
    <xf numFmtId="2" fontId="0" fillId="0" borderId="0" xfId="0" applyNumberFormat="1" applyFill="1" applyBorder="1" applyAlignment="1">
      <alignment horizontal="center"/>
    </xf>
    <xf numFmtId="2" fontId="0" fillId="5" borderId="43" xfId="0" applyNumberFormat="1" applyFill="1" applyBorder="1" applyAlignment="1">
      <alignment horizontal="center" vertical="center"/>
    </xf>
    <xf numFmtId="2" fontId="0" fillId="0" borderId="43" xfId="0" applyNumberFormat="1" applyFill="1" applyBorder="1" applyAlignment="1">
      <alignment horizontal="center" vertical="center"/>
    </xf>
    <xf numFmtId="2" fontId="0" fillId="0" borderId="46" xfId="0" applyNumberFormat="1" applyBorder="1" applyAlignment="1">
      <alignment horizontal="center" vertical="center"/>
    </xf>
    <xf numFmtId="0" fontId="0" fillId="5" borderId="52" xfId="0" applyFill="1" applyBorder="1" applyAlignment="1">
      <alignment horizontal="left" vertical="center"/>
    </xf>
    <xf numFmtId="0" fontId="0" fillId="0" borderId="57" xfId="0" applyBorder="1"/>
    <xf numFmtId="0" fontId="0" fillId="5" borderId="58" xfId="0" applyFill="1" applyBorder="1"/>
    <xf numFmtId="2" fontId="0" fillId="5" borderId="42" xfId="0" applyNumberFormat="1" applyFill="1" applyBorder="1" applyAlignment="1">
      <alignment horizontal="center" vertical="center"/>
    </xf>
    <xf numFmtId="2" fontId="0" fillId="5" borderId="46" xfId="0" applyNumberFormat="1" applyFill="1" applyBorder="1" applyAlignment="1">
      <alignment horizontal="center" vertical="center"/>
    </xf>
    <xf numFmtId="2" fontId="0" fillId="0" borderId="46" xfId="0" applyNumberFormat="1" applyFill="1" applyBorder="1" applyAlignment="1">
      <alignment horizontal="center" vertical="center"/>
    </xf>
    <xf numFmtId="2" fontId="0" fillId="2" borderId="59" xfId="0" applyNumberFormat="1" applyFill="1" applyBorder="1" applyAlignment="1">
      <alignment horizontal="center" vertical="center"/>
    </xf>
    <xf numFmtId="2" fontId="0" fillId="4" borderId="11" xfId="0" applyNumberFormat="1" applyFill="1" applyBorder="1" applyAlignment="1">
      <alignment horizontal="center" vertical="center"/>
    </xf>
    <xf numFmtId="0" fontId="0" fillId="0" borderId="52" xfId="0" applyBorder="1"/>
    <xf numFmtId="0" fontId="0" fillId="0" borderId="16" xfId="0" applyBorder="1"/>
    <xf numFmtId="2" fontId="0" fillId="5" borderId="34" xfId="0" applyNumberFormat="1" applyFill="1" applyBorder="1" applyAlignment="1">
      <alignment horizontal="center" vertical="center"/>
    </xf>
    <xf numFmtId="10" fontId="0" fillId="5" borderId="34" xfId="2" applyNumberFormat="1" applyFont="1" applyFill="1" applyBorder="1" applyAlignment="1">
      <alignment horizontal="center" vertical="center"/>
    </xf>
    <xf numFmtId="0" fontId="1" fillId="0" borderId="0" xfId="0" applyFont="1" applyAlignment="1">
      <alignment horizontal="center" vertical="center"/>
    </xf>
    <xf numFmtId="0" fontId="0" fillId="0" borderId="37" xfId="0" applyBorder="1" applyAlignment="1">
      <alignment horizontal="center"/>
    </xf>
    <xf numFmtId="0" fontId="0" fillId="0" borderId="15" xfId="0" applyBorder="1" applyAlignment="1">
      <alignment horizontal="center"/>
    </xf>
    <xf numFmtId="0" fontId="1" fillId="0" borderId="0" xfId="0" applyFont="1" applyBorder="1" applyAlignment="1">
      <alignment vertical="center"/>
    </xf>
    <xf numFmtId="2" fontId="0" fillId="0" borderId="42" xfId="0" applyNumberFormat="1" applyBorder="1" applyAlignment="1">
      <alignment horizontal="center"/>
    </xf>
    <xf numFmtId="2" fontId="0" fillId="0" borderId="43" xfId="0" applyNumberFormat="1" applyBorder="1" applyAlignment="1">
      <alignment horizontal="center"/>
    </xf>
    <xf numFmtId="0" fontId="1" fillId="0" borderId="0" xfId="0" applyFont="1" applyAlignment="1">
      <alignment horizontal="center" vertical="center"/>
    </xf>
    <xf numFmtId="2" fontId="0" fillId="5" borderId="54" xfId="0" applyNumberFormat="1" applyFill="1" applyBorder="1" applyAlignment="1">
      <alignment horizontal="center" vertical="center"/>
    </xf>
    <xf numFmtId="9" fontId="0" fillId="5" borderId="23" xfId="0" applyNumberFormat="1" applyFill="1" applyBorder="1" applyAlignment="1">
      <alignment horizontal="center"/>
    </xf>
    <xf numFmtId="9" fontId="0" fillId="5" borderId="17" xfId="0" applyNumberFormat="1" applyFill="1" applyBorder="1" applyAlignment="1">
      <alignment horizontal="center"/>
    </xf>
    <xf numFmtId="9" fontId="0" fillId="0" borderId="0" xfId="0" applyNumberFormat="1" applyFill="1" applyBorder="1" applyAlignment="1">
      <alignment horizontal="center"/>
    </xf>
    <xf numFmtId="0" fontId="0" fillId="0" borderId="0" xfId="0" applyFill="1" applyBorder="1" applyAlignment="1">
      <alignment horizontal="center"/>
    </xf>
    <xf numFmtId="9" fontId="0" fillId="0" borderId="7" xfId="2" applyFont="1" applyBorder="1" applyAlignment="1">
      <alignment horizontal="center"/>
    </xf>
    <xf numFmtId="9" fontId="0" fillId="5" borderId="17" xfId="2" applyFont="1" applyFill="1" applyBorder="1" applyAlignment="1">
      <alignment horizontal="center"/>
    </xf>
    <xf numFmtId="0" fontId="0" fillId="0" borderId="56" xfId="0" applyBorder="1" applyAlignment="1">
      <alignment vertical="center"/>
    </xf>
    <xf numFmtId="2" fontId="0" fillId="5" borderId="12" xfId="0" applyNumberFormat="1" applyFill="1" applyBorder="1" applyAlignment="1">
      <alignment horizontal="center" vertical="center"/>
    </xf>
    <xf numFmtId="2" fontId="0" fillId="5" borderId="28" xfId="0" applyNumberFormat="1" applyFill="1" applyBorder="1" applyAlignment="1">
      <alignment horizontal="center" vertical="center"/>
    </xf>
    <xf numFmtId="2" fontId="0" fillId="5" borderId="71" xfId="0" applyNumberFormat="1" applyFill="1" applyBorder="1" applyAlignment="1">
      <alignment horizontal="center" vertical="center"/>
    </xf>
    <xf numFmtId="2" fontId="0" fillId="5" borderId="72" xfId="0" applyNumberFormat="1" applyFill="1" applyBorder="1" applyAlignment="1">
      <alignment horizontal="center" vertical="center"/>
    </xf>
    <xf numFmtId="2" fontId="0" fillId="4" borderId="19" xfId="0" applyNumberFormat="1" applyFill="1" applyBorder="1" applyAlignment="1">
      <alignment horizontal="center"/>
    </xf>
    <xf numFmtId="2" fontId="0" fillId="5" borderId="62" xfId="0" applyNumberFormat="1" applyFill="1" applyBorder="1" applyAlignment="1">
      <alignment horizontal="center" vertical="center"/>
    </xf>
    <xf numFmtId="2" fontId="0" fillId="5" borderId="64" xfId="0" applyNumberFormat="1" applyFill="1" applyBorder="1" applyAlignment="1">
      <alignment horizontal="center" vertical="center"/>
    </xf>
    <xf numFmtId="10" fontId="0" fillId="5" borderId="6" xfId="2" applyNumberFormat="1" applyFont="1" applyFill="1" applyBorder="1" applyAlignment="1">
      <alignment horizontal="center" vertical="center"/>
    </xf>
    <xf numFmtId="10" fontId="0" fillId="5" borderId="9" xfId="2" applyNumberFormat="1" applyFont="1" applyFill="1" applyBorder="1" applyAlignment="1">
      <alignment horizontal="center" vertical="center"/>
    </xf>
    <xf numFmtId="10" fontId="0" fillId="5" borderId="72" xfId="2" applyNumberFormat="1" applyFont="1" applyFill="1" applyBorder="1" applyAlignment="1">
      <alignment horizontal="center" vertical="center"/>
    </xf>
    <xf numFmtId="2" fontId="0" fillId="4" borderId="68" xfId="0" applyNumberFormat="1" applyFill="1" applyBorder="1" applyAlignment="1">
      <alignment horizontal="center" vertical="center"/>
    </xf>
    <xf numFmtId="2" fontId="0" fillId="0" borderId="6" xfId="0" applyNumberFormat="1" applyFill="1" applyBorder="1" applyAlignment="1">
      <alignment horizontal="center" vertical="center"/>
    </xf>
    <xf numFmtId="43" fontId="0" fillId="0" borderId="0" xfId="1" applyFont="1" applyFill="1" applyBorder="1" applyAlignment="1">
      <alignment horizontal="center"/>
    </xf>
    <xf numFmtId="2" fontId="0" fillId="5" borderId="42" xfId="0" applyNumberFormat="1" applyFill="1" applyBorder="1" applyAlignment="1">
      <alignment horizontal="center"/>
    </xf>
    <xf numFmtId="2" fontId="0" fillId="5" borderId="43" xfId="0" applyNumberFormat="1" applyFill="1" applyBorder="1" applyAlignment="1">
      <alignment horizontal="center"/>
    </xf>
    <xf numFmtId="2" fontId="0" fillId="4" borderId="25" xfId="0" applyNumberFormat="1" applyFill="1" applyBorder="1" applyAlignment="1">
      <alignment horizontal="center"/>
    </xf>
    <xf numFmtId="2" fontId="0" fillId="4" borderId="63" xfId="0" applyNumberFormat="1" applyFill="1" applyBorder="1" applyAlignment="1">
      <alignment horizontal="center" vertical="center"/>
    </xf>
    <xf numFmtId="2" fontId="0" fillId="5" borderId="46" xfId="0" applyNumberFormat="1" applyFill="1" applyBorder="1" applyAlignment="1">
      <alignment horizontal="center"/>
    </xf>
    <xf numFmtId="0" fontId="0" fillId="0" borderId="45" xfId="0" applyBorder="1" applyAlignment="1">
      <alignment horizontal="center"/>
    </xf>
    <xf numFmtId="0" fontId="0" fillId="0" borderId="14" xfId="0" applyFill="1" applyBorder="1" applyAlignment="1">
      <alignment horizontal="center"/>
    </xf>
    <xf numFmtId="0" fontId="0" fillId="0" borderId="37" xfId="0" applyFill="1" applyBorder="1" applyAlignment="1">
      <alignment horizontal="center"/>
    </xf>
    <xf numFmtId="0" fontId="0" fillId="0" borderId="15" xfId="0" applyFill="1" applyBorder="1" applyAlignment="1">
      <alignment horizontal="center"/>
    </xf>
    <xf numFmtId="0" fontId="0" fillId="0" borderId="52" xfId="0" applyBorder="1" applyAlignment="1">
      <alignment horizontal="left" vertical="center"/>
    </xf>
    <xf numFmtId="0" fontId="0" fillId="0" borderId="58" xfId="0" applyBorder="1" applyAlignment="1">
      <alignment horizontal="left" vertical="center"/>
    </xf>
    <xf numFmtId="0" fontId="0" fillId="0" borderId="32" xfId="0" applyBorder="1" applyAlignment="1">
      <alignment horizontal="center"/>
    </xf>
    <xf numFmtId="0" fontId="0" fillId="5" borderId="59" xfId="0" applyFill="1" applyBorder="1"/>
    <xf numFmtId="0" fontId="0" fillId="4" borderId="54" xfId="0" applyFill="1" applyBorder="1"/>
    <xf numFmtId="0" fontId="0" fillId="5" borderId="60" xfId="0" applyFill="1" applyBorder="1"/>
    <xf numFmtId="0" fontId="0" fillId="0" borderId="4" xfId="0" applyFill="1" applyBorder="1" applyAlignment="1">
      <alignment horizontal="left" vertical="center"/>
    </xf>
    <xf numFmtId="0" fontId="0" fillId="0" borderId="6" xfId="0" applyFill="1" applyBorder="1" applyAlignment="1">
      <alignment horizontal="left" vertical="center"/>
    </xf>
    <xf numFmtId="0" fontId="0" fillId="0" borderId="57" xfId="0" applyFill="1" applyBorder="1" applyAlignment="1">
      <alignment horizontal="left" vertical="center"/>
    </xf>
    <xf numFmtId="0" fontId="0" fillId="0" borderId="33" xfId="0" applyBorder="1"/>
    <xf numFmtId="0" fontId="0" fillId="0" borderId="27" xfId="0" applyBorder="1"/>
    <xf numFmtId="2" fontId="0" fillId="5" borderId="4" xfId="0" applyNumberFormat="1" applyFill="1" applyBorder="1" applyAlignment="1">
      <alignment horizontal="center"/>
    </xf>
    <xf numFmtId="43" fontId="0" fillId="4" borderId="53" xfId="1" applyFont="1" applyFill="1" applyBorder="1" applyAlignment="1">
      <alignment horizontal="center"/>
    </xf>
    <xf numFmtId="43" fontId="0" fillId="4" borderId="59" xfId="1" applyFont="1" applyFill="1" applyBorder="1" applyAlignment="1">
      <alignment horizontal="center"/>
    </xf>
    <xf numFmtId="43" fontId="0" fillId="4" borderId="54" xfId="1" applyFont="1" applyFill="1" applyBorder="1" applyAlignment="1">
      <alignment horizontal="center"/>
    </xf>
    <xf numFmtId="2" fontId="0" fillId="5" borderId="70" xfId="0" applyNumberFormat="1" applyFill="1" applyBorder="1" applyAlignment="1">
      <alignment horizontal="center"/>
    </xf>
    <xf numFmtId="43" fontId="0" fillId="5" borderId="3" xfId="0" applyNumberFormat="1" applyFill="1" applyBorder="1"/>
    <xf numFmtId="43" fontId="0" fillId="5" borderId="5" xfId="0" applyNumberFormat="1" applyFill="1" applyBorder="1"/>
    <xf numFmtId="0" fontId="0" fillId="0" borderId="25" xfId="0" applyBorder="1" applyAlignment="1">
      <alignment horizontal="center" vertical="center"/>
    </xf>
    <xf numFmtId="0" fontId="1" fillId="0" borderId="0" xfId="0" applyFont="1" applyBorder="1" applyAlignment="1">
      <alignment horizontal="center" vertical="center"/>
    </xf>
    <xf numFmtId="0" fontId="1" fillId="0" borderId="0" xfId="0" applyFont="1" applyAlignment="1">
      <alignment horizontal="center" vertical="center"/>
    </xf>
    <xf numFmtId="0" fontId="0" fillId="0" borderId="14" xfId="0" applyBorder="1" applyAlignment="1">
      <alignment horizontal="center"/>
    </xf>
    <xf numFmtId="0" fontId="0" fillId="0" borderId="37" xfId="0" applyBorder="1" applyAlignment="1">
      <alignment horizontal="center"/>
    </xf>
    <xf numFmtId="0" fontId="0" fillId="0" borderId="0" xfId="0" applyAlignment="1">
      <alignment horizontal="center" vertical="center"/>
    </xf>
    <xf numFmtId="0" fontId="0" fillId="0" borderId="10" xfId="0" applyBorder="1" applyAlignment="1">
      <alignment horizontal="center"/>
    </xf>
    <xf numFmtId="0" fontId="0" fillId="0" borderId="11" xfId="0" applyBorder="1" applyAlignment="1">
      <alignment horizontal="center"/>
    </xf>
    <xf numFmtId="43" fontId="0" fillId="4" borderId="47" xfId="1" applyFont="1" applyFill="1" applyBorder="1" applyAlignment="1">
      <alignment horizontal="center"/>
    </xf>
    <xf numFmtId="2" fontId="0" fillId="5" borderId="64" xfId="0" applyNumberFormat="1" applyFill="1" applyBorder="1" applyAlignment="1">
      <alignment horizontal="center"/>
    </xf>
    <xf numFmtId="2" fontId="0" fillId="5" borderId="71" xfId="0" applyNumberFormat="1" applyFill="1" applyBorder="1" applyAlignment="1">
      <alignment horizontal="center"/>
    </xf>
    <xf numFmtId="0" fontId="0" fillId="0" borderId="57" xfId="0" applyBorder="1" applyAlignment="1">
      <alignment horizontal="center"/>
    </xf>
    <xf numFmtId="0" fontId="0" fillId="0" borderId="56" xfId="0" applyFill="1" applyBorder="1"/>
    <xf numFmtId="2" fontId="0" fillId="0" borderId="8" xfId="0" applyNumberFormat="1" applyBorder="1" applyAlignment="1">
      <alignment horizontal="center" vertical="center"/>
    </xf>
    <xf numFmtId="2" fontId="0" fillId="0" borderId="64" xfId="0" applyNumberFormat="1" applyBorder="1" applyAlignment="1">
      <alignment horizontal="center" vertical="center"/>
    </xf>
    <xf numFmtId="2" fontId="0" fillId="5" borderId="61" xfId="0" applyNumberFormat="1" applyFill="1" applyBorder="1" applyAlignment="1">
      <alignment horizontal="center"/>
    </xf>
    <xf numFmtId="43" fontId="0" fillId="4" borderId="61" xfId="1" applyFont="1" applyFill="1" applyBorder="1" applyAlignment="1">
      <alignment horizontal="center"/>
    </xf>
    <xf numFmtId="43" fontId="0" fillId="4" borderId="17" xfId="1" applyFont="1" applyFill="1" applyBorder="1" applyAlignment="1">
      <alignment horizontal="center"/>
    </xf>
    <xf numFmtId="0" fontId="0" fillId="0" borderId="58" xfId="0" applyBorder="1"/>
    <xf numFmtId="2" fontId="0" fillId="0" borderId="2" xfId="0" applyNumberFormat="1" applyBorder="1" applyAlignment="1">
      <alignment horizontal="center" vertical="center"/>
    </xf>
    <xf numFmtId="0" fontId="0" fillId="4" borderId="10" xfId="0" applyFill="1" applyBorder="1"/>
    <xf numFmtId="0" fontId="0" fillId="0" borderId="43" xfId="0" applyFill="1" applyBorder="1" applyAlignment="1">
      <alignment horizontal="left" vertical="center"/>
    </xf>
    <xf numFmtId="0" fontId="0" fillId="5" borderId="2" xfId="0" applyFill="1" applyBorder="1" applyAlignment="1">
      <alignment horizontal="center" vertical="center"/>
    </xf>
    <xf numFmtId="0" fontId="0" fillId="0" borderId="56" xfId="0" applyBorder="1" applyAlignment="1">
      <alignment horizontal="center"/>
    </xf>
    <xf numFmtId="0" fontId="0" fillId="0" borderId="59" xfId="0" applyBorder="1" applyAlignment="1">
      <alignment horizontal="center"/>
    </xf>
    <xf numFmtId="0" fontId="0" fillId="0" borderId="43" xfId="0" applyBorder="1" applyAlignment="1">
      <alignment horizontal="center"/>
    </xf>
    <xf numFmtId="9" fontId="0" fillId="4" borderId="55" xfId="0" applyNumberFormat="1" applyFill="1" applyBorder="1" applyAlignment="1">
      <alignment horizontal="center"/>
    </xf>
    <xf numFmtId="9" fontId="0" fillId="4" borderId="44" xfId="0" applyNumberFormat="1" applyFill="1" applyBorder="1" applyAlignment="1">
      <alignment horizontal="center"/>
    </xf>
    <xf numFmtId="9" fontId="0" fillId="4" borderId="54" xfId="0" applyNumberFormat="1" applyFill="1" applyBorder="1" applyAlignment="1">
      <alignment horizontal="center"/>
    </xf>
    <xf numFmtId="0" fontId="0" fillId="0" borderId="42" xfId="0" applyFill="1" applyBorder="1" applyAlignment="1">
      <alignment horizontal="left" vertical="center"/>
    </xf>
    <xf numFmtId="0" fontId="0" fillId="0" borderId="73" xfId="0" applyBorder="1" applyAlignment="1">
      <alignment horizontal="left" vertical="center"/>
    </xf>
    <xf numFmtId="0" fontId="0" fillId="0" borderId="65" xfId="0" applyBorder="1" applyAlignment="1">
      <alignment horizontal="center" vertical="center"/>
    </xf>
    <xf numFmtId="0" fontId="0" fillId="0" borderId="66" xfId="0" applyBorder="1" applyAlignment="1">
      <alignment horizontal="center" vertical="center"/>
    </xf>
    <xf numFmtId="0" fontId="0" fillId="0" borderId="74" xfId="0" applyBorder="1" applyAlignment="1">
      <alignment horizontal="center" vertical="center"/>
    </xf>
    <xf numFmtId="1" fontId="0" fillId="4" borderId="43" xfId="0" applyNumberFormat="1" applyFill="1" applyBorder="1" applyAlignment="1">
      <alignment horizontal="center" vertical="center"/>
    </xf>
    <xf numFmtId="43" fontId="0" fillId="4" borderId="43" xfId="0" applyNumberFormat="1" applyFill="1" applyBorder="1" applyAlignment="1">
      <alignment horizontal="center" vertical="center"/>
    </xf>
    <xf numFmtId="0" fontId="0" fillId="0" borderId="23" xfId="0" applyFill="1" applyBorder="1" applyAlignment="1">
      <alignment horizontal="left" vertical="center"/>
    </xf>
    <xf numFmtId="43" fontId="0" fillId="4" borderId="45" xfId="0" applyNumberFormat="1" applyFill="1" applyBorder="1" applyAlignment="1">
      <alignment horizontal="center"/>
    </xf>
    <xf numFmtId="10" fontId="0" fillId="4" borderId="23" xfId="2" applyNumberFormat="1" applyFont="1" applyFill="1" applyBorder="1" applyAlignment="1">
      <alignment horizontal="center" vertical="center"/>
    </xf>
    <xf numFmtId="43" fontId="0" fillId="5" borderId="4" xfId="0" applyNumberFormat="1" applyFill="1" applyBorder="1" applyAlignment="1">
      <alignment vertical="center"/>
    </xf>
    <xf numFmtId="0" fontId="0" fillId="0" borderId="29" xfId="0" applyBorder="1" applyAlignment="1">
      <alignment horizontal="center"/>
    </xf>
    <xf numFmtId="0" fontId="0" fillId="0" borderId="68" xfId="0" applyBorder="1"/>
    <xf numFmtId="0" fontId="0" fillId="0" borderId="38" xfId="0" applyBorder="1" applyAlignment="1">
      <alignment horizontal="center"/>
    </xf>
    <xf numFmtId="0" fontId="0" fillId="5" borderId="56" xfId="0" applyFill="1" applyBorder="1" applyAlignment="1">
      <alignment horizontal="center"/>
    </xf>
    <xf numFmtId="0" fontId="0" fillId="5" borderId="47" xfId="0" applyFill="1" applyBorder="1" applyAlignment="1">
      <alignment horizontal="center"/>
    </xf>
    <xf numFmtId="0" fontId="0" fillId="5" borderId="60" xfId="0" applyFill="1" applyBorder="1" applyAlignment="1">
      <alignment horizontal="center"/>
    </xf>
    <xf numFmtId="0" fontId="0" fillId="0" borderId="25" xfId="0" applyBorder="1" applyAlignment="1">
      <alignment horizontal="center"/>
    </xf>
    <xf numFmtId="43" fontId="0" fillId="0" borderId="71" xfId="1" applyFont="1" applyBorder="1" applyAlignment="1">
      <alignment horizontal="center" vertical="center"/>
    </xf>
    <xf numFmtId="43" fontId="0" fillId="0" borderId="71" xfId="1" applyFont="1" applyBorder="1" applyAlignment="1">
      <alignment horizontal="center"/>
    </xf>
    <xf numFmtId="43" fontId="0" fillId="0" borderId="63" xfId="1" applyFont="1" applyFill="1" applyBorder="1" applyAlignment="1">
      <alignment horizontal="center"/>
    </xf>
    <xf numFmtId="43" fontId="0" fillId="4" borderId="14" xfId="0" applyNumberFormat="1" applyFill="1" applyBorder="1" applyAlignment="1">
      <alignment horizontal="center"/>
    </xf>
    <xf numFmtId="10" fontId="0" fillId="4" borderId="42" xfId="2" applyNumberFormat="1" applyFont="1" applyFill="1" applyBorder="1" applyAlignment="1">
      <alignment horizontal="center"/>
    </xf>
    <xf numFmtId="0" fontId="0" fillId="0" borderId="74" xfId="0" applyBorder="1" applyAlignment="1">
      <alignment horizontal="center"/>
    </xf>
    <xf numFmtId="0" fontId="0" fillId="5" borderId="48" xfId="0" applyFill="1" applyBorder="1" applyAlignment="1">
      <alignment horizontal="center"/>
    </xf>
    <xf numFmtId="43" fontId="0" fillId="5" borderId="21" xfId="1" applyFont="1" applyFill="1" applyBorder="1"/>
    <xf numFmtId="1" fontId="0" fillId="5" borderId="21" xfId="0" applyNumberFormat="1" applyFill="1" applyBorder="1" applyAlignment="1">
      <alignment horizontal="center"/>
    </xf>
    <xf numFmtId="1" fontId="0" fillId="0" borderId="71" xfId="0" applyNumberFormat="1" applyBorder="1" applyAlignment="1">
      <alignment horizontal="center"/>
    </xf>
    <xf numFmtId="0" fontId="0" fillId="0" borderId="63" xfId="0" applyBorder="1" applyAlignment="1">
      <alignment horizontal="center"/>
    </xf>
    <xf numFmtId="43" fontId="0" fillId="4" borderId="14" xfId="0" applyNumberFormat="1" applyFill="1" applyBorder="1"/>
    <xf numFmtId="1" fontId="0" fillId="4" borderId="47" xfId="0" applyNumberFormat="1" applyFill="1" applyBorder="1" applyAlignment="1">
      <alignment horizontal="center"/>
    </xf>
    <xf numFmtId="43" fontId="0" fillId="4" borderId="16" xfId="0" applyNumberFormat="1" applyFill="1" applyBorder="1" applyAlignment="1">
      <alignment horizontal="center"/>
    </xf>
    <xf numFmtId="10" fontId="0" fillId="4" borderId="23" xfId="2" applyNumberFormat="1" applyFont="1" applyFill="1" applyBorder="1" applyAlignment="1">
      <alignment horizontal="center"/>
    </xf>
    <xf numFmtId="43" fontId="0" fillId="0" borderId="63" xfId="1" applyFont="1" applyBorder="1" applyAlignment="1">
      <alignment horizontal="center"/>
    </xf>
    <xf numFmtId="10" fontId="0" fillId="0" borderId="47" xfId="2" applyNumberFormat="1" applyFont="1" applyFill="1" applyBorder="1" applyAlignment="1">
      <alignment horizontal="center" vertical="center"/>
    </xf>
    <xf numFmtId="10" fontId="0" fillId="0" borderId="23" xfId="2" applyNumberFormat="1" applyFont="1" applyFill="1" applyBorder="1" applyAlignment="1">
      <alignment horizontal="center" vertical="center"/>
    </xf>
    <xf numFmtId="10" fontId="0" fillId="0" borderId="60" xfId="2" applyNumberFormat="1" applyFont="1" applyFill="1" applyBorder="1" applyAlignment="1">
      <alignment horizontal="center"/>
    </xf>
    <xf numFmtId="10" fontId="0" fillId="0" borderId="23" xfId="2" applyNumberFormat="1" applyFont="1" applyFill="1" applyBorder="1" applyAlignment="1">
      <alignment horizontal="center"/>
    </xf>
    <xf numFmtId="43" fontId="0" fillId="0" borderId="43" xfId="1" applyNumberFormat="1" applyFont="1" applyBorder="1" applyAlignment="1">
      <alignment horizontal="center"/>
    </xf>
    <xf numFmtId="10" fontId="0" fillId="4" borderId="43" xfId="2" applyNumberFormat="1" applyFont="1" applyFill="1" applyBorder="1" applyAlignment="1">
      <alignment horizontal="center"/>
    </xf>
    <xf numFmtId="2" fontId="0" fillId="5" borderId="40" xfId="0" applyNumberFormat="1" applyFill="1" applyBorder="1" applyAlignment="1">
      <alignment horizontal="center"/>
    </xf>
    <xf numFmtId="0" fontId="0" fillId="0" borderId="23" xfId="0" applyFont="1" applyBorder="1" applyAlignment="1">
      <alignment horizontal="center" vertical="center"/>
    </xf>
    <xf numFmtId="0" fontId="0" fillId="4" borderId="42" xfId="0" applyFill="1" applyBorder="1" applyAlignment="1">
      <alignment horizontal="center" vertical="center"/>
    </xf>
    <xf numFmtId="0" fontId="7" fillId="0" borderId="39" xfId="0" applyFont="1" applyBorder="1" applyAlignment="1">
      <alignment horizontal="center"/>
    </xf>
    <xf numFmtId="0" fontId="7" fillId="0" borderId="33" xfId="0" applyFont="1" applyBorder="1" applyAlignment="1">
      <alignment horizontal="center"/>
    </xf>
    <xf numFmtId="0" fontId="7" fillId="0" borderId="27" xfId="0" applyFont="1" applyBorder="1" applyAlignment="1">
      <alignment horizontal="center"/>
    </xf>
    <xf numFmtId="0" fontId="7" fillId="0" borderId="67" xfId="0" applyFont="1" applyBorder="1" applyAlignment="1">
      <alignment horizontal="center"/>
    </xf>
    <xf numFmtId="0" fontId="0" fillId="0" borderId="32" xfId="0" applyBorder="1" applyAlignment="1">
      <alignment horizontal="center"/>
    </xf>
    <xf numFmtId="0" fontId="1" fillId="0" borderId="0" xfId="0" applyFont="1" applyAlignment="1">
      <alignment horizontal="center" vertical="center"/>
    </xf>
    <xf numFmtId="0" fontId="0" fillId="0" borderId="14" xfId="0" applyBorder="1" applyAlignment="1">
      <alignment horizontal="center"/>
    </xf>
    <xf numFmtId="0" fontId="0" fillId="0" borderId="37" xfId="0" applyBorder="1" applyAlignment="1">
      <alignment horizontal="center"/>
    </xf>
    <xf numFmtId="0" fontId="0" fillId="0" borderId="26" xfId="0" applyBorder="1" applyAlignment="1">
      <alignment horizontal="center"/>
    </xf>
    <xf numFmtId="0" fontId="0" fillId="0" borderId="0" xfId="0" applyFill="1"/>
    <xf numFmtId="9" fontId="0" fillId="0" borderId="23" xfId="2" applyFont="1" applyBorder="1" applyAlignment="1">
      <alignment horizontal="center"/>
    </xf>
    <xf numFmtId="2" fontId="0" fillId="0" borderId="71" xfId="0" applyNumberFormat="1" applyFill="1" applyBorder="1" applyAlignment="1">
      <alignment horizontal="center" vertical="center"/>
    </xf>
    <xf numFmtId="2" fontId="0" fillId="4" borderId="44" xfId="0" applyNumberFormat="1" applyFill="1" applyBorder="1" applyAlignment="1">
      <alignment horizontal="center"/>
    </xf>
    <xf numFmtId="2" fontId="0" fillId="0" borderId="4" xfId="0" applyNumberFormat="1" applyFill="1" applyBorder="1" applyAlignment="1">
      <alignment horizontal="center"/>
    </xf>
    <xf numFmtId="2" fontId="0" fillId="0" borderId="65" xfId="0" applyNumberFormat="1" applyFill="1" applyBorder="1" applyAlignment="1">
      <alignment horizontal="center" vertical="center"/>
    </xf>
    <xf numFmtId="2" fontId="0" fillId="0" borderId="66" xfId="0" applyNumberFormat="1" applyFill="1" applyBorder="1" applyAlignment="1">
      <alignment horizontal="center" vertical="center"/>
    </xf>
    <xf numFmtId="2" fontId="0" fillId="0" borderId="65" xfId="0" applyNumberFormat="1" applyFill="1" applyBorder="1" applyAlignment="1">
      <alignment horizontal="center"/>
    </xf>
    <xf numFmtId="2" fontId="0" fillId="0" borderId="66" xfId="0" applyNumberFormat="1" applyFill="1" applyBorder="1" applyAlignment="1">
      <alignment horizontal="center"/>
    </xf>
    <xf numFmtId="0" fontId="0" fillId="0" borderId="24" xfId="0" applyBorder="1" applyAlignment="1"/>
    <xf numFmtId="0" fontId="0" fillId="0" borderId="23" xfId="0" applyBorder="1" applyAlignment="1"/>
    <xf numFmtId="2" fontId="0" fillId="0" borderId="0" xfId="0" applyNumberFormat="1" applyBorder="1" applyAlignment="1">
      <alignment horizontal="center"/>
    </xf>
    <xf numFmtId="2" fontId="0" fillId="0" borderId="0" xfId="2" applyNumberFormat="1" applyFont="1" applyFill="1" applyBorder="1" applyAlignment="1">
      <alignment horizontal="center"/>
    </xf>
    <xf numFmtId="43" fontId="0" fillId="5" borderId="4" xfId="0" applyNumberFormat="1" applyFill="1" applyBorder="1" applyAlignment="1">
      <alignment horizontal="center" vertical="center"/>
    </xf>
    <xf numFmtId="2" fontId="0" fillId="0" borderId="6" xfId="0" applyNumberFormat="1" applyFill="1" applyBorder="1" applyAlignment="1">
      <alignment horizontal="center"/>
    </xf>
    <xf numFmtId="2" fontId="0" fillId="0" borderId="9" xfId="0" applyNumberFormat="1" applyFill="1" applyBorder="1" applyAlignment="1">
      <alignment horizontal="center"/>
    </xf>
    <xf numFmtId="2" fontId="0" fillId="0" borderId="7" xfId="0" applyNumberFormat="1" applyFill="1" applyBorder="1" applyAlignment="1">
      <alignment horizontal="center"/>
    </xf>
    <xf numFmtId="0" fontId="0" fillId="5" borderId="12" xfId="0" applyFill="1" applyBorder="1" applyAlignment="1">
      <alignment horizontal="center"/>
    </xf>
    <xf numFmtId="0" fontId="0" fillId="5" borderId="28" xfId="0" applyFill="1" applyBorder="1" applyAlignment="1">
      <alignment horizontal="center"/>
    </xf>
    <xf numFmtId="0" fontId="0" fillId="5" borderId="70" xfId="0" applyFill="1" applyBorder="1" applyAlignment="1">
      <alignment horizontal="center"/>
    </xf>
    <xf numFmtId="2" fontId="0" fillId="4" borderId="47" xfId="0" applyNumberFormat="1" applyFill="1" applyBorder="1" applyAlignment="1">
      <alignment horizontal="center"/>
    </xf>
    <xf numFmtId="2" fontId="0" fillId="4" borderId="60" xfId="0" applyNumberFormat="1" applyFill="1" applyBorder="1" applyAlignment="1">
      <alignment horizontal="center"/>
    </xf>
    <xf numFmtId="2" fontId="0" fillId="4" borderId="54" xfId="0" applyNumberFormat="1" applyFill="1" applyBorder="1" applyAlignment="1">
      <alignment horizontal="center"/>
    </xf>
    <xf numFmtId="2" fontId="0" fillId="0" borderId="1" xfId="2" applyNumberFormat="1" applyFont="1" applyFill="1" applyBorder="1" applyAlignment="1">
      <alignment horizontal="center"/>
    </xf>
    <xf numFmtId="2" fontId="0" fillId="0" borderId="4" xfId="0" applyNumberFormat="1" applyBorder="1" applyAlignment="1">
      <alignment horizontal="center"/>
    </xf>
    <xf numFmtId="2" fontId="0" fillId="0" borderId="5" xfId="2" applyNumberFormat="1" applyFont="1" applyFill="1" applyBorder="1" applyAlignment="1">
      <alignment horizontal="center"/>
    </xf>
    <xf numFmtId="2" fontId="0" fillId="0" borderId="71" xfId="2" applyNumberFormat="1" applyFont="1" applyFill="1" applyBorder="1" applyAlignment="1">
      <alignment horizontal="center"/>
    </xf>
    <xf numFmtId="9" fontId="0" fillId="5" borderId="6" xfId="2" applyFont="1" applyFill="1" applyBorder="1" applyAlignment="1">
      <alignment horizontal="center"/>
    </xf>
    <xf numFmtId="9" fontId="0" fillId="5" borderId="9" xfId="2" applyFont="1" applyFill="1" applyBorder="1" applyAlignment="1">
      <alignment horizontal="center"/>
    </xf>
    <xf numFmtId="9" fontId="0" fillId="5" borderId="7" xfId="2" applyFont="1" applyFill="1" applyBorder="1" applyAlignment="1">
      <alignment horizontal="center"/>
    </xf>
    <xf numFmtId="9" fontId="0" fillId="5" borderId="72" xfId="2" applyFont="1" applyFill="1" applyBorder="1" applyAlignment="1">
      <alignment horizontal="center"/>
    </xf>
    <xf numFmtId="9" fontId="0" fillId="5" borderId="22" xfId="2" applyFont="1" applyFill="1" applyBorder="1" applyAlignment="1">
      <alignment horizontal="center"/>
    </xf>
    <xf numFmtId="0" fontId="0" fillId="0" borderId="73" xfId="0" applyBorder="1" applyAlignment="1"/>
    <xf numFmtId="0" fontId="0" fillId="0" borderId="2" xfId="0" applyBorder="1" applyAlignment="1">
      <alignment horizontal="center"/>
    </xf>
    <xf numFmtId="0" fontId="0" fillId="0" borderId="3" xfId="0" applyBorder="1" applyAlignment="1">
      <alignment horizontal="center"/>
    </xf>
    <xf numFmtId="0" fontId="1" fillId="0" borderId="0" xfId="0" applyFont="1" applyAlignment="1">
      <alignment horizontal="center" vertical="center"/>
    </xf>
    <xf numFmtId="0" fontId="0" fillId="0" borderId="52" xfId="0" applyBorder="1" applyAlignment="1">
      <alignment horizontal="center"/>
    </xf>
    <xf numFmtId="0" fontId="0" fillId="0" borderId="14" xfId="0" applyBorder="1" applyAlignment="1">
      <alignment horizontal="center"/>
    </xf>
    <xf numFmtId="0" fontId="0" fillId="0" borderId="37" xfId="0" applyBorder="1" applyAlignment="1">
      <alignment horizontal="center"/>
    </xf>
    <xf numFmtId="0" fontId="0" fillId="0" borderId="15" xfId="0" applyBorder="1" applyAlignment="1">
      <alignment horizontal="center"/>
    </xf>
    <xf numFmtId="0" fontId="1" fillId="0" borderId="0" xfId="0" applyFont="1" applyBorder="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0" fontId="0" fillId="0" borderId="11" xfId="0" applyBorder="1" applyAlignment="1">
      <alignment horizontal="center"/>
    </xf>
    <xf numFmtId="0" fontId="0" fillId="5" borderId="13" xfId="0" applyFill="1" applyBorder="1" applyAlignment="1">
      <alignment horizontal="center"/>
    </xf>
    <xf numFmtId="0" fontId="0" fillId="0" borderId="26" xfId="0" applyBorder="1"/>
    <xf numFmtId="0" fontId="0" fillId="0" borderId="1" xfId="0" applyBorder="1"/>
    <xf numFmtId="0" fontId="0" fillId="0" borderId="2" xfId="0" applyFill="1" applyBorder="1" applyAlignment="1">
      <alignment horizontal="left" vertical="center"/>
    </xf>
    <xf numFmtId="0" fontId="0" fillId="0" borderId="8" xfId="0" applyBorder="1"/>
    <xf numFmtId="2" fontId="0" fillId="0" borderId="70" xfId="0" applyNumberFormat="1" applyBorder="1" applyAlignment="1">
      <alignment horizontal="center"/>
    </xf>
    <xf numFmtId="0" fontId="0" fillId="0" borderId="26" xfId="0" applyBorder="1" applyAlignment="1">
      <alignment horizontal="center" vertical="center"/>
    </xf>
    <xf numFmtId="0" fontId="0" fillId="0" borderId="39" xfId="0" applyBorder="1" applyAlignment="1">
      <alignment horizontal="center" vertical="center"/>
    </xf>
    <xf numFmtId="0" fontId="0" fillId="0" borderId="32" xfId="0" applyBorder="1" applyAlignment="1">
      <alignment horizontal="center" vertical="center"/>
    </xf>
    <xf numFmtId="2" fontId="2" fillId="2" borderId="3" xfId="0" applyNumberFormat="1" applyFont="1" applyFill="1" applyBorder="1" applyAlignment="1">
      <alignment horizontal="center" vertical="center"/>
    </xf>
    <xf numFmtId="2" fontId="0" fillId="4" borderId="63" xfId="0" applyNumberFormat="1" applyFill="1" applyBorder="1" applyAlignment="1">
      <alignment horizontal="center"/>
    </xf>
    <xf numFmtId="0" fontId="0" fillId="0" borderId="1" xfId="0" applyBorder="1" applyAlignment="1">
      <alignment horizontal="center"/>
    </xf>
    <xf numFmtId="2" fontId="0" fillId="4" borderId="29" xfId="0" applyNumberFormat="1" applyFill="1" applyBorder="1" applyAlignment="1">
      <alignment horizontal="center"/>
    </xf>
    <xf numFmtId="2" fontId="0" fillId="4" borderId="38" xfId="0" applyNumberFormat="1" applyFill="1" applyBorder="1" applyAlignment="1">
      <alignment horizontal="center"/>
    </xf>
    <xf numFmtId="9" fontId="0" fillId="0" borderId="6" xfId="2" applyFont="1" applyBorder="1" applyAlignment="1">
      <alignment horizontal="center"/>
    </xf>
    <xf numFmtId="9" fontId="0" fillId="0" borderId="9" xfId="2" applyFont="1" applyBorder="1" applyAlignment="1">
      <alignment horizontal="center"/>
    </xf>
    <xf numFmtId="0" fontId="0" fillId="0" borderId="5" xfId="0" applyBorder="1" applyAlignment="1">
      <alignment horizontal="center"/>
    </xf>
    <xf numFmtId="2" fontId="0" fillId="6" borderId="1" xfId="0" applyNumberFormat="1" applyFill="1" applyBorder="1" applyAlignment="1">
      <alignment horizontal="center" vertical="center"/>
    </xf>
    <xf numFmtId="0" fontId="0" fillId="5" borderId="58" xfId="0" applyFill="1" applyBorder="1" applyAlignment="1">
      <alignment horizontal="left" vertical="center"/>
    </xf>
    <xf numFmtId="9" fontId="0" fillId="0" borderId="0" xfId="2" applyFont="1" applyFill="1" applyBorder="1" applyAlignment="1">
      <alignment horizontal="center"/>
    </xf>
    <xf numFmtId="0" fontId="0" fillId="0" borderId="0" xfId="0" applyBorder="1" applyAlignment="1"/>
    <xf numFmtId="0" fontId="0" fillId="0" borderId="52" xfId="0" applyFill="1" applyBorder="1" applyAlignment="1">
      <alignment horizontal="left" vertical="center"/>
    </xf>
    <xf numFmtId="2" fontId="0" fillId="0" borderId="43" xfId="0" applyNumberFormat="1" applyFill="1" applyBorder="1" applyAlignment="1">
      <alignment horizontal="center"/>
    </xf>
    <xf numFmtId="9" fontId="0" fillId="0" borderId="44" xfId="2" applyFont="1" applyBorder="1" applyAlignment="1">
      <alignment horizontal="center"/>
    </xf>
    <xf numFmtId="0" fontId="0" fillId="0" borderId="49" xfId="0" applyBorder="1" applyAlignment="1">
      <alignment horizontal="center" vertical="center"/>
    </xf>
    <xf numFmtId="2" fontId="0" fillId="2" borderId="64" xfId="0" applyNumberFormat="1" applyFill="1" applyBorder="1" applyAlignment="1">
      <alignment horizontal="center" vertical="center"/>
    </xf>
    <xf numFmtId="2" fontId="0" fillId="0" borderId="53" xfId="0" applyNumberFormat="1" applyFill="1" applyBorder="1" applyAlignment="1">
      <alignment horizontal="center"/>
    </xf>
    <xf numFmtId="0" fontId="0" fillId="0" borderId="42" xfId="0" applyFill="1" applyBorder="1"/>
    <xf numFmtId="2" fontId="0" fillId="0" borderId="59" xfId="2" applyNumberFormat="1" applyFont="1" applyBorder="1" applyAlignment="1">
      <alignment horizontal="center"/>
    </xf>
    <xf numFmtId="2" fontId="0" fillId="0" borderId="54" xfId="2" applyNumberFormat="1" applyFont="1" applyBorder="1" applyAlignment="1">
      <alignment horizontal="center"/>
    </xf>
    <xf numFmtId="0" fontId="0" fillId="0" borderId="0" xfId="0" applyFont="1" applyAlignment="1">
      <alignment horizontal="center" vertical="center"/>
    </xf>
    <xf numFmtId="0" fontId="0" fillId="0" borderId="4" xfId="0" applyFont="1" applyBorder="1" applyAlignment="1">
      <alignment horizontal="center" vertical="center"/>
    </xf>
    <xf numFmtId="0" fontId="0" fillId="0" borderId="0" xfId="0" applyFont="1"/>
    <xf numFmtId="0" fontId="0" fillId="0" borderId="0" xfId="0" applyFont="1" applyBorder="1" applyAlignment="1">
      <alignment horizontal="center"/>
    </xf>
    <xf numFmtId="2" fontId="0" fillId="0" borderId="0" xfId="0" applyNumberFormat="1" applyBorder="1"/>
    <xf numFmtId="164" fontId="0" fillId="0" borderId="0" xfId="0" applyNumberFormat="1" applyFill="1" applyBorder="1" applyAlignment="1">
      <alignment horizontal="center" vertical="center"/>
    </xf>
    <xf numFmtId="0" fontId="0" fillId="0" borderId="0" xfId="0" applyFont="1" applyBorder="1" applyAlignment="1">
      <alignment horizontal="center" vertical="center"/>
    </xf>
    <xf numFmtId="0" fontId="0" fillId="5" borderId="4" xfId="0" applyFill="1" applyBorder="1"/>
    <xf numFmtId="0" fontId="0" fillId="4" borderId="4" xfId="0" applyFill="1" applyBorder="1"/>
    <xf numFmtId="2" fontId="0" fillId="0" borderId="13" xfId="0" applyNumberFormat="1" applyFill="1" applyBorder="1" applyAlignment="1">
      <alignment horizontal="center"/>
    </xf>
    <xf numFmtId="10" fontId="0" fillId="0" borderId="5" xfId="2" applyNumberFormat="1" applyFont="1" applyFill="1" applyBorder="1" applyAlignment="1">
      <alignment horizontal="center"/>
    </xf>
    <xf numFmtId="0" fontId="0" fillId="4" borderId="6" xfId="0" applyFill="1" applyBorder="1"/>
    <xf numFmtId="0" fontId="0" fillId="5" borderId="12" xfId="0" applyFill="1" applyBorder="1"/>
    <xf numFmtId="0" fontId="0" fillId="0" borderId="34" xfId="0" applyBorder="1"/>
    <xf numFmtId="0" fontId="0" fillId="0" borderId="4" xfId="0" applyBorder="1" applyAlignment="1">
      <alignment horizontal="center"/>
    </xf>
    <xf numFmtId="2" fontId="0" fillId="0" borderId="8" xfId="0" applyNumberFormat="1" applyBorder="1" applyAlignment="1">
      <alignment horizontal="center"/>
    </xf>
    <xf numFmtId="2" fontId="0" fillId="0" borderId="3" xfId="0" applyNumberFormat="1" applyBorder="1" applyAlignment="1">
      <alignment horizontal="center"/>
    </xf>
    <xf numFmtId="0" fontId="0" fillId="0" borderId="4" xfId="0" applyFill="1" applyBorder="1" applyAlignment="1">
      <alignment horizontal="center"/>
    </xf>
    <xf numFmtId="2" fontId="0" fillId="0" borderId="9" xfId="0" applyNumberFormat="1" applyBorder="1" applyAlignment="1">
      <alignment horizontal="center"/>
    </xf>
    <xf numFmtId="2" fontId="0" fillId="0" borderId="7" xfId="0" applyNumberFormat="1" applyBorder="1" applyAlignment="1">
      <alignment horizontal="center"/>
    </xf>
    <xf numFmtId="9" fontId="0" fillId="0" borderId="17" xfId="2" applyFont="1" applyBorder="1"/>
    <xf numFmtId="2" fontId="0" fillId="6" borderId="1" xfId="0" applyNumberFormat="1" applyFill="1" applyBorder="1" applyAlignment="1">
      <alignment horizontal="center"/>
    </xf>
    <xf numFmtId="2" fontId="0" fillId="0" borderId="28" xfId="0" applyNumberFormat="1" applyBorder="1" applyAlignment="1">
      <alignment horizontal="center"/>
    </xf>
    <xf numFmtId="2" fontId="0" fillId="4" borderId="5" xfId="0" applyNumberFormat="1" applyFill="1" applyBorder="1" applyAlignment="1">
      <alignment horizontal="center"/>
    </xf>
    <xf numFmtId="0" fontId="0" fillId="0" borderId="9" xfId="0" applyBorder="1" applyAlignment="1">
      <alignment horizontal="center"/>
    </xf>
    <xf numFmtId="2" fontId="0" fillId="6" borderId="5" xfId="1" applyNumberFormat="1" applyFont="1" applyFill="1" applyBorder="1" applyAlignment="1">
      <alignment horizontal="center"/>
    </xf>
    <xf numFmtId="2" fontId="0" fillId="5" borderId="1" xfId="1" applyNumberFormat="1" applyFont="1" applyFill="1" applyBorder="1" applyAlignment="1">
      <alignment horizontal="center"/>
    </xf>
    <xf numFmtId="2" fontId="0" fillId="5" borderId="9" xfId="1" applyNumberFormat="1" applyFont="1" applyFill="1" applyBorder="1" applyAlignment="1">
      <alignment horizontal="center"/>
    </xf>
    <xf numFmtId="2" fontId="0" fillId="5" borderId="5" xfId="1" applyNumberFormat="1" applyFont="1" applyFill="1" applyBorder="1" applyAlignment="1">
      <alignment horizontal="center"/>
    </xf>
    <xf numFmtId="2" fontId="0" fillId="5" borderId="7" xfId="1" applyNumberFormat="1" applyFont="1" applyFill="1" applyBorder="1" applyAlignment="1">
      <alignment horizontal="center"/>
    </xf>
    <xf numFmtId="0" fontId="0" fillId="0" borderId="6" xfId="0" applyFont="1" applyBorder="1" applyAlignment="1">
      <alignment horizontal="center"/>
    </xf>
    <xf numFmtId="0" fontId="0" fillId="0" borderId="2" xfId="0" applyFont="1" applyBorder="1" applyAlignment="1">
      <alignment horizontal="center" vertical="center"/>
    </xf>
    <xf numFmtId="0" fontId="0" fillId="0" borderId="3" xfId="0" applyFont="1" applyBorder="1" applyAlignment="1">
      <alignment horizontal="center"/>
    </xf>
    <xf numFmtId="0" fontId="0" fillId="0" borderId="71" xfId="0" applyFont="1" applyBorder="1" applyAlignment="1">
      <alignment horizontal="center"/>
    </xf>
    <xf numFmtId="0" fontId="0" fillId="0" borderId="72" xfId="0" applyFont="1" applyBorder="1" applyAlignment="1">
      <alignment horizontal="center"/>
    </xf>
    <xf numFmtId="0" fontId="0" fillId="5" borderId="5" xfId="0" applyFont="1" applyFill="1" applyBorder="1" applyAlignment="1">
      <alignment horizontal="center"/>
    </xf>
    <xf numFmtId="0" fontId="0" fillId="5" borderId="7" xfId="0" applyFont="1" applyFill="1" applyBorder="1" applyAlignment="1">
      <alignment horizontal="center"/>
    </xf>
    <xf numFmtId="0" fontId="0" fillId="0" borderId="56" xfId="0" applyFont="1" applyBorder="1" applyAlignment="1">
      <alignment vertical="center"/>
    </xf>
    <xf numFmtId="0" fontId="0" fillId="0" borderId="57" xfId="0" applyFont="1" applyBorder="1" applyAlignment="1">
      <alignment horizontal="left" vertical="center"/>
    </xf>
    <xf numFmtId="0" fontId="0" fillId="0" borderId="55" xfId="0" applyFont="1" applyBorder="1" applyAlignment="1">
      <alignment horizontal="left"/>
    </xf>
    <xf numFmtId="0" fontId="0" fillId="0" borderId="64" xfId="0" applyFont="1" applyBorder="1" applyAlignment="1">
      <alignment horizontal="center"/>
    </xf>
    <xf numFmtId="2" fontId="0" fillId="0" borderId="0" xfId="1" applyNumberFormat="1" applyFont="1" applyFill="1" applyBorder="1" applyAlignment="1">
      <alignment horizontal="center"/>
    </xf>
    <xf numFmtId="2" fontId="0" fillId="5" borderId="18" xfId="0" applyNumberFormat="1" applyFill="1" applyBorder="1" applyAlignment="1">
      <alignment horizontal="center" vertical="center"/>
    </xf>
    <xf numFmtId="0" fontId="0" fillId="0" borderId="34" xfId="0" applyBorder="1" applyAlignment="1">
      <alignment horizontal="left" vertical="center"/>
    </xf>
    <xf numFmtId="0" fontId="0" fillId="0" borderId="34" xfId="0" applyFill="1" applyBorder="1" applyAlignment="1">
      <alignment horizontal="center"/>
    </xf>
    <xf numFmtId="0" fontId="0" fillId="0" borderId="35" xfId="0" applyBorder="1" applyAlignment="1">
      <alignment horizontal="center"/>
    </xf>
    <xf numFmtId="2" fontId="0" fillId="5" borderId="36" xfId="1" applyNumberFormat="1" applyFont="1" applyFill="1" applyBorder="1" applyAlignment="1">
      <alignment horizontal="center"/>
    </xf>
    <xf numFmtId="0" fontId="0" fillId="6" borderId="45" xfId="0" applyFill="1" applyBorder="1" applyAlignment="1">
      <alignment horizontal="center"/>
    </xf>
    <xf numFmtId="2" fontId="0" fillId="0" borderId="13" xfId="0" applyNumberFormat="1" applyBorder="1" applyAlignment="1">
      <alignment horizontal="center"/>
    </xf>
    <xf numFmtId="2" fontId="0" fillId="4" borderId="7" xfId="0" applyNumberFormat="1" applyFill="1" applyBorder="1" applyAlignment="1">
      <alignment horizontal="center"/>
    </xf>
    <xf numFmtId="0" fontId="0" fillId="0" borderId="46" xfId="0" applyBorder="1" applyAlignment="1">
      <alignment horizontal="center"/>
    </xf>
    <xf numFmtId="0" fontId="0" fillId="0" borderId="29" xfId="0" applyBorder="1"/>
    <xf numFmtId="0" fontId="0" fillId="0" borderId="26" xfId="0" applyBorder="1" applyAlignment="1">
      <alignment horizontal="left" vertical="center"/>
    </xf>
    <xf numFmtId="0" fontId="0" fillId="7" borderId="49" xfId="0" applyFill="1" applyBorder="1" applyAlignment="1">
      <alignment horizontal="center" vertical="center"/>
    </xf>
    <xf numFmtId="0" fontId="0" fillId="7" borderId="39" xfId="0" applyFill="1" applyBorder="1" applyAlignment="1">
      <alignment horizontal="center" vertical="center"/>
    </xf>
    <xf numFmtId="0" fontId="0" fillId="0" borderId="6" xfId="0" applyBorder="1" applyAlignment="1">
      <alignment horizontal="left" vertical="center"/>
    </xf>
    <xf numFmtId="9" fontId="0" fillId="5" borderId="23" xfId="2" applyFont="1" applyFill="1" applyBorder="1" applyAlignment="1">
      <alignment horizontal="center" vertical="center"/>
    </xf>
    <xf numFmtId="0" fontId="0" fillId="0" borderId="65" xfId="0" applyBorder="1"/>
    <xf numFmtId="0" fontId="0" fillId="0" borderId="66" xfId="0" applyBorder="1"/>
    <xf numFmtId="0" fontId="0" fillId="0" borderId="66" xfId="0" applyFill="1" applyBorder="1"/>
    <xf numFmtId="0" fontId="0" fillId="0" borderId="66" xfId="0" applyFill="1" applyBorder="1" applyAlignment="1">
      <alignment horizontal="center"/>
    </xf>
    <xf numFmtId="0" fontId="0" fillId="0" borderId="67" xfId="0" applyFill="1" applyBorder="1"/>
    <xf numFmtId="0" fontId="0" fillId="0" borderId="28" xfId="0" applyBorder="1" applyAlignment="1">
      <alignment horizontal="center"/>
    </xf>
    <xf numFmtId="2" fontId="0" fillId="5" borderId="28" xfId="1" applyNumberFormat="1" applyFont="1" applyFill="1" applyBorder="1" applyAlignment="1">
      <alignment horizontal="center"/>
    </xf>
    <xf numFmtId="2" fontId="0" fillId="5" borderId="13" xfId="1" applyNumberFormat="1" applyFont="1" applyFill="1" applyBorder="1" applyAlignment="1">
      <alignment horizontal="center"/>
    </xf>
    <xf numFmtId="2" fontId="0" fillId="6" borderId="8" xfId="0" applyNumberFormat="1" applyFill="1" applyBorder="1" applyAlignment="1">
      <alignment horizontal="center"/>
    </xf>
    <xf numFmtId="2" fontId="0" fillId="5" borderId="8" xfId="1" applyNumberFormat="1" applyFont="1" applyFill="1" applyBorder="1" applyAlignment="1">
      <alignment horizontal="center"/>
    </xf>
    <xf numFmtId="2" fontId="0" fillId="6" borderId="3" xfId="1" applyNumberFormat="1" applyFont="1" applyFill="1" applyBorder="1" applyAlignment="1">
      <alignment horizontal="center"/>
    </xf>
    <xf numFmtId="0" fontId="0" fillId="0" borderId="6" xfId="0" applyBorder="1" applyAlignment="1">
      <alignment horizontal="center"/>
    </xf>
    <xf numFmtId="0" fontId="0" fillId="4" borderId="14" xfId="0" applyFill="1" applyBorder="1"/>
    <xf numFmtId="0" fontId="0" fillId="0" borderId="33" xfId="0" applyBorder="1" applyAlignment="1">
      <alignment horizontal="center"/>
    </xf>
    <xf numFmtId="0" fontId="0" fillId="0" borderId="32" xfId="0" applyFill="1" applyBorder="1" applyAlignment="1">
      <alignment horizontal="center"/>
    </xf>
    <xf numFmtId="0" fontId="0" fillId="0" borderId="24" xfId="0" applyFill="1" applyBorder="1" applyAlignment="1">
      <alignment horizontal="center"/>
    </xf>
    <xf numFmtId="0" fontId="0" fillId="0" borderId="47" xfId="0" applyFill="1" applyBorder="1"/>
    <xf numFmtId="0" fontId="0" fillId="0" borderId="25" xfId="0" applyFill="1" applyBorder="1"/>
    <xf numFmtId="2" fontId="0" fillId="0" borderId="2" xfId="0" applyNumberFormat="1" applyBorder="1" applyAlignment="1">
      <alignment horizontal="center"/>
    </xf>
    <xf numFmtId="2" fontId="0" fillId="0" borderId="6" xfId="0" applyNumberFormat="1" applyBorder="1" applyAlignment="1">
      <alignment horizontal="center"/>
    </xf>
    <xf numFmtId="2" fontId="0" fillId="0" borderId="12" xfId="0" applyNumberFormat="1" applyBorder="1" applyAlignment="1">
      <alignment horizontal="center"/>
    </xf>
    <xf numFmtId="2" fontId="0" fillId="5" borderId="6" xfId="0" applyNumberFormat="1" applyFill="1" applyBorder="1" applyAlignment="1">
      <alignment horizontal="center"/>
    </xf>
    <xf numFmtId="2" fontId="0" fillId="5" borderId="34" xfId="0" applyNumberFormat="1" applyFill="1" applyBorder="1" applyAlignment="1">
      <alignment horizontal="center"/>
    </xf>
    <xf numFmtId="2" fontId="0" fillId="5" borderId="35" xfId="0" applyNumberFormat="1" applyFill="1" applyBorder="1" applyAlignment="1">
      <alignment horizontal="center"/>
    </xf>
    <xf numFmtId="2" fontId="0" fillId="5" borderId="62" xfId="0" applyNumberFormat="1" applyFill="1" applyBorder="1" applyAlignment="1">
      <alignment horizontal="center"/>
    </xf>
    <xf numFmtId="2" fontId="0" fillId="0" borderId="12" xfId="0" applyNumberFormat="1" applyFill="1" applyBorder="1" applyAlignment="1">
      <alignment horizontal="center" vertical="center"/>
    </xf>
    <xf numFmtId="2" fontId="0" fillId="0" borderId="28" xfId="0" applyNumberFormat="1" applyFill="1" applyBorder="1" applyAlignment="1">
      <alignment horizontal="center" vertical="center"/>
    </xf>
    <xf numFmtId="2" fontId="0" fillId="0" borderId="13" xfId="0" applyNumberFormat="1" applyFill="1" applyBorder="1" applyAlignment="1">
      <alignment horizontal="center" vertical="center"/>
    </xf>
    <xf numFmtId="2" fontId="0" fillId="0" borderId="12" xfId="0" applyNumberFormat="1" applyFill="1" applyBorder="1" applyAlignment="1">
      <alignment horizontal="center"/>
    </xf>
    <xf numFmtId="2" fontId="0" fillId="0" borderId="28" xfId="0" applyNumberFormat="1" applyFill="1" applyBorder="1" applyAlignment="1">
      <alignment horizontal="center"/>
    </xf>
    <xf numFmtId="0" fontId="0" fillId="0" borderId="50" xfId="0" applyFill="1" applyBorder="1"/>
    <xf numFmtId="2" fontId="0" fillId="0" borderId="67" xfId="0" applyNumberFormat="1" applyFill="1" applyBorder="1" applyAlignment="1">
      <alignment horizontal="center" vertical="center"/>
    </xf>
    <xf numFmtId="0" fontId="0" fillId="0" borderId="49" xfId="0" applyBorder="1"/>
    <xf numFmtId="2" fontId="0" fillId="5" borderId="9" xfId="0" applyNumberFormat="1" applyFill="1" applyBorder="1" applyAlignment="1">
      <alignment horizontal="center"/>
    </xf>
    <xf numFmtId="2" fontId="0" fillId="5" borderId="72" xfId="0" applyNumberFormat="1" applyFill="1" applyBorder="1" applyAlignment="1">
      <alignment horizontal="center"/>
    </xf>
    <xf numFmtId="0" fontId="0" fillId="5" borderId="42" xfId="0" applyFill="1" applyBorder="1" applyAlignment="1">
      <alignment horizontal="center"/>
    </xf>
    <xf numFmtId="43" fontId="0" fillId="5" borderId="43" xfId="1" applyNumberFormat="1" applyFont="1" applyFill="1" applyBorder="1" applyAlignment="1">
      <alignment horizontal="center"/>
    </xf>
    <xf numFmtId="2" fontId="0" fillId="5" borderId="27" xfId="0" applyNumberFormat="1" applyFill="1" applyBorder="1" applyAlignment="1">
      <alignment horizontal="center" vertical="center"/>
    </xf>
    <xf numFmtId="0" fontId="0" fillId="0" borderId="20" xfId="0" applyBorder="1" applyAlignment="1">
      <alignment horizontal="center" vertical="center"/>
    </xf>
    <xf numFmtId="0" fontId="0" fillId="0" borderId="17" xfId="0" applyFont="1" applyBorder="1" applyAlignment="1">
      <alignment horizontal="center" vertical="center"/>
    </xf>
    <xf numFmtId="2" fontId="0" fillId="0" borderId="54" xfId="0" applyNumberFormat="1" applyBorder="1" applyAlignment="1">
      <alignment horizontal="center"/>
    </xf>
    <xf numFmtId="0" fontId="0" fillId="0" borderId="0" xfId="0" applyBorder="1" applyAlignment="1">
      <alignment horizontal="left"/>
    </xf>
    <xf numFmtId="2" fontId="0" fillId="0" borderId="48" xfId="0" applyNumberFormat="1" applyBorder="1" applyAlignment="1">
      <alignment horizontal="center"/>
    </xf>
    <xf numFmtId="2" fontId="0" fillId="0" borderId="22" xfId="0" applyNumberFormat="1" applyBorder="1" applyAlignment="1">
      <alignment horizontal="center"/>
    </xf>
    <xf numFmtId="0" fontId="0" fillId="5" borderId="18" xfId="0" applyFill="1" applyBorder="1" applyAlignment="1">
      <alignment horizontal="center" vertical="center"/>
    </xf>
    <xf numFmtId="0" fontId="0" fillId="5" borderId="21" xfId="0" applyFill="1" applyBorder="1" applyAlignment="1">
      <alignment horizontal="center" vertical="center"/>
    </xf>
    <xf numFmtId="0" fontId="1" fillId="0" borderId="0" xfId="0" applyFont="1" applyAlignment="1">
      <alignment horizontal="center" vertical="center"/>
    </xf>
    <xf numFmtId="0" fontId="0" fillId="0" borderId="14" xfId="0" applyBorder="1" applyAlignment="1">
      <alignment horizontal="center"/>
    </xf>
    <xf numFmtId="0" fontId="1" fillId="0" borderId="0" xfId="0" applyFont="1" applyAlignment="1">
      <alignment horizontal="center" vertical="center"/>
    </xf>
    <xf numFmtId="2" fontId="0" fillId="0" borderId="9" xfId="0" applyNumberFormat="1" applyFill="1" applyBorder="1" applyAlignment="1">
      <alignment horizontal="center" vertical="center"/>
    </xf>
    <xf numFmtId="2" fontId="0" fillId="0" borderId="7" xfId="0" applyNumberFormat="1" applyFill="1" applyBorder="1" applyAlignment="1">
      <alignment horizontal="center" vertical="center"/>
    </xf>
    <xf numFmtId="2" fontId="0" fillId="5" borderId="52" xfId="0" applyNumberFormat="1" applyFill="1" applyBorder="1" applyAlignment="1">
      <alignment vertical="center"/>
    </xf>
    <xf numFmtId="2" fontId="0" fillId="5" borderId="53" xfId="0" applyNumberFormat="1" applyFill="1" applyBorder="1" applyAlignment="1">
      <alignment vertical="center"/>
    </xf>
    <xf numFmtId="2" fontId="0" fillId="5" borderId="55" xfId="0" applyNumberFormat="1" applyFill="1" applyBorder="1" applyAlignment="1">
      <alignment vertical="center"/>
    </xf>
    <xf numFmtId="2" fontId="0" fillId="5" borderId="54" xfId="0" applyNumberFormat="1" applyFill="1" applyBorder="1" applyAlignment="1">
      <alignment vertical="center"/>
    </xf>
    <xf numFmtId="0" fontId="0" fillId="0" borderId="52" xfId="0" applyBorder="1" applyAlignment="1">
      <alignment vertical="center"/>
    </xf>
    <xf numFmtId="0" fontId="0" fillId="0" borderId="57" xfId="0" applyBorder="1" applyAlignment="1">
      <alignment vertical="center"/>
    </xf>
    <xf numFmtId="0" fontId="0" fillId="0" borderId="55" xfId="0" applyBorder="1" applyAlignment="1">
      <alignment horizontal="left" vertical="center"/>
    </xf>
    <xf numFmtId="10" fontId="0" fillId="5" borderId="35" xfId="2" applyNumberFormat="1" applyFont="1" applyFill="1" applyBorder="1" applyAlignment="1">
      <alignment horizontal="center" vertical="center"/>
    </xf>
    <xf numFmtId="10" fontId="0" fillId="5" borderId="62" xfId="2" applyNumberFormat="1" applyFont="1" applyFill="1" applyBorder="1" applyAlignment="1">
      <alignment horizontal="center" vertical="center"/>
    </xf>
    <xf numFmtId="2" fontId="0" fillId="0" borderId="35" xfId="0" applyNumberFormat="1" applyFill="1" applyBorder="1" applyAlignment="1">
      <alignment horizontal="center" vertical="center"/>
    </xf>
    <xf numFmtId="2" fontId="0" fillId="6" borderId="71" xfId="0" applyNumberFormat="1" applyFill="1" applyBorder="1" applyAlignment="1">
      <alignment horizontal="center" vertical="center"/>
    </xf>
    <xf numFmtId="2" fontId="0" fillId="0" borderId="62" xfId="0" applyNumberFormat="1" applyFill="1" applyBorder="1" applyAlignment="1">
      <alignment horizontal="center" vertical="center"/>
    </xf>
    <xf numFmtId="0" fontId="7" fillId="0" borderId="26" xfId="0" applyFont="1" applyBorder="1" applyAlignment="1">
      <alignment horizontal="center"/>
    </xf>
    <xf numFmtId="2" fontId="0" fillId="0" borderId="72" xfId="0" applyNumberFormat="1" applyFill="1" applyBorder="1" applyAlignment="1">
      <alignment horizontal="center" vertical="center"/>
    </xf>
    <xf numFmtId="0" fontId="0" fillId="0" borderId="33" xfId="0" applyBorder="1" applyAlignment="1">
      <alignment horizontal="center" vertical="center"/>
    </xf>
    <xf numFmtId="0" fontId="0" fillId="0" borderId="27" xfId="0" applyBorder="1" applyAlignment="1">
      <alignment horizontal="center" vertical="center"/>
    </xf>
    <xf numFmtId="0" fontId="7" fillId="0" borderId="24" xfId="0" applyFont="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14" xfId="0" applyBorder="1" applyAlignment="1">
      <alignment horizontal="center"/>
    </xf>
    <xf numFmtId="0" fontId="0" fillId="0" borderId="14" xfId="0" applyBorder="1"/>
    <xf numFmtId="0" fontId="0" fillId="0" borderId="15" xfId="0" applyBorder="1"/>
    <xf numFmtId="0" fontId="7" fillId="0" borderId="6" xfId="0" applyFont="1" applyBorder="1" applyAlignment="1">
      <alignment horizontal="center"/>
    </xf>
    <xf numFmtId="0" fontId="7" fillId="0" borderId="9" xfId="0" applyFont="1" applyBorder="1" applyAlignment="1">
      <alignment horizontal="center"/>
    </xf>
    <xf numFmtId="0" fontId="7" fillId="0" borderId="7" xfId="0" applyFont="1" applyBorder="1" applyAlignment="1">
      <alignment horizontal="center"/>
    </xf>
    <xf numFmtId="0" fontId="0" fillId="0" borderId="64" xfId="0" applyBorder="1" applyAlignment="1">
      <alignment horizontal="center"/>
    </xf>
    <xf numFmtId="0" fontId="7" fillId="0" borderId="72" xfId="0" applyFont="1" applyBorder="1" applyAlignment="1">
      <alignment horizontal="center"/>
    </xf>
    <xf numFmtId="2" fontId="0" fillId="4" borderId="18" xfId="0" applyNumberFormat="1" applyFill="1" applyBorder="1" applyAlignment="1">
      <alignment horizontal="center" vertical="center"/>
    </xf>
    <xf numFmtId="2" fontId="0" fillId="4" borderId="66" xfId="0" applyNumberFormat="1" applyFill="1" applyBorder="1" applyAlignment="1">
      <alignment horizontal="center" vertical="center"/>
    </xf>
    <xf numFmtId="2" fontId="0" fillId="0" borderId="34" xfId="0" applyNumberFormat="1" applyBorder="1" applyAlignment="1">
      <alignment horizontal="center" vertical="center"/>
    </xf>
    <xf numFmtId="2" fontId="0" fillId="5" borderId="53" xfId="0" applyNumberFormat="1" applyFill="1" applyBorder="1" applyAlignment="1">
      <alignment horizontal="center" vertical="center"/>
    </xf>
    <xf numFmtId="2" fontId="0" fillId="0" borderId="59" xfId="1" applyNumberFormat="1" applyFont="1" applyBorder="1" applyAlignment="1">
      <alignment horizontal="center" vertical="center"/>
    </xf>
    <xf numFmtId="0" fontId="0" fillId="5" borderId="14" xfId="0" applyFill="1" applyBorder="1" applyAlignment="1">
      <alignment horizontal="center"/>
    </xf>
    <xf numFmtId="0" fontId="0" fillId="5" borderId="37" xfId="0" applyFill="1" applyBorder="1" applyAlignment="1">
      <alignment horizontal="center"/>
    </xf>
    <xf numFmtId="0" fontId="0" fillId="5" borderId="63" xfId="0" applyFill="1" applyBorder="1" applyAlignment="1">
      <alignment horizontal="center"/>
    </xf>
    <xf numFmtId="0" fontId="0" fillId="5" borderId="15" xfId="0" applyFill="1" applyBorder="1" applyAlignment="1">
      <alignment horizontal="center"/>
    </xf>
    <xf numFmtId="0" fontId="0" fillId="5" borderId="59" xfId="0" applyNumberFormat="1" applyFill="1" applyBorder="1" applyAlignment="1">
      <alignment horizontal="center"/>
    </xf>
    <xf numFmtId="0" fontId="0" fillId="5" borderId="6" xfId="0" applyFill="1" applyBorder="1" applyAlignment="1">
      <alignment horizontal="center"/>
    </xf>
    <xf numFmtId="0" fontId="0" fillId="5" borderId="7" xfId="0" applyFill="1" applyBorder="1" applyAlignment="1">
      <alignment horizontal="center"/>
    </xf>
    <xf numFmtId="2" fontId="0" fillId="5" borderId="70" xfId="0" applyNumberFormat="1" applyFill="1" applyBorder="1" applyAlignment="1">
      <alignment horizontal="center" vertical="center"/>
    </xf>
    <xf numFmtId="9" fontId="0" fillId="5" borderId="14" xfId="2" applyFont="1" applyFill="1" applyBorder="1" applyAlignment="1">
      <alignment horizontal="center"/>
    </xf>
    <xf numFmtId="9" fontId="0" fillId="5" borderId="45" xfId="2" applyFont="1" applyFill="1" applyBorder="1" applyAlignment="1">
      <alignment horizontal="center"/>
    </xf>
    <xf numFmtId="0" fontId="0" fillId="0" borderId="47" xfId="0" applyFill="1" applyBorder="1" applyAlignment="1">
      <alignment horizontal="left" vertical="center"/>
    </xf>
    <xf numFmtId="0" fontId="0" fillId="0" borderId="47" xfId="0" applyBorder="1" applyAlignment="1">
      <alignment horizontal="center"/>
    </xf>
    <xf numFmtId="0" fontId="0" fillId="4" borderId="52" xfId="0" applyFill="1" applyBorder="1" applyAlignment="1">
      <alignment horizontal="center"/>
    </xf>
    <xf numFmtId="0" fontId="0" fillId="4" borderId="56" xfId="0" applyFill="1" applyBorder="1" applyAlignment="1">
      <alignment horizontal="center"/>
    </xf>
    <xf numFmtId="0" fontId="0" fillId="4" borderId="57" xfId="0" applyFill="1" applyBorder="1" applyAlignment="1">
      <alignment horizontal="center"/>
    </xf>
    <xf numFmtId="43" fontId="0" fillId="4" borderId="57" xfId="1" applyNumberFormat="1" applyFont="1" applyFill="1" applyBorder="1" applyAlignment="1">
      <alignment horizontal="center"/>
    </xf>
    <xf numFmtId="0" fontId="0" fillId="0" borderId="46" xfId="0" applyFill="1" applyBorder="1"/>
    <xf numFmtId="43" fontId="0" fillId="5" borderId="46" xfId="1" applyNumberFormat="1" applyFont="1" applyFill="1" applyBorder="1" applyAlignment="1">
      <alignment horizontal="center"/>
    </xf>
    <xf numFmtId="43" fontId="0" fillId="0" borderId="46" xfId="1" applyNumberFormat="1" applyFont="1" applyBorder="1" applyAlignment="1">
      <alignment horizontal="center"/>
    </xf>
    <xf numFmtId="43" fontId="0" fillId="4" borderId="58" xfId="1" applyNumberFormat="1" applyFont="1" applyFill="1" applyBorder="1" applyAlignment="1">
      <alignment horizontal="center"/>
    </xf>
    <xf numFmtId="10" fontId="0" fillId="4" borderId="46" xfId="2" applyNumberFormat="1" applyFont="1" applyFill="1" applyBorder="1" applyAlignment="1">
      <alignment horizontal="center"/>
    </xf>
    <xf numFmtId="43" fontId="0" fillId="4" borderId="14" xfId="1" applyNumberFormat="1" applyFont="1" applyFill="1" applyBorder="1"/>
    <xf numFmtId="43" fontId="0" fillId="0" borderId="63" xfId="1" applyNumberFormat="1" applyFont="1" applyBorder="1"/>
    <xf numFmtId="43" fontId="0" fillId="4" borderId="23" xfId="1" applyNumberFormat="1" applyFont="1" applyFill="1" applyBorder="1" applyAlignment="1">
      <alignment horizontal="center"/>
    </xf>
    <xf numFmtId="10" fontId="0" fillId="4" borderId="17" xfId="2" applyNumberFormat="1" applyFont="1" applyFill="1" applyBorder="1" applyAlignment="1">
      <alignment horizontal="center"/>
    </xf>
    <xf numFmtId="2" fontId="0" fillId="0" borderId="72" xfId="0" applyNumberFormat="1" applyFill="1" applyBorder="1" applyAlignment="1">
      <alignment horizontal="center"/>
    </xf>
    <xf numFmtId="0" fontId="0" fillId="0" borderId="25" xfId="0" applyBorder="1" applyAlignment="1">
      <alignment horizontal="center" vertical="center"/>
    </xf>
    <xf numFmtId="0" fontId="0" fillId="0" borderId="17" xfId="0" applyBorder="1" applyAlignment="1">
      <alignment horizontal="center" vertical="center"/>
    </xf>
    <xf numFmtId="0" fontId="0" fillId="0" borderId="25" xfId="0" applyBorder="1" applyAlignment="1">
      <alignment horizontal="center"/>
    </xf>
    <xf numFmtId="0" fontId="1" fillId="0" borderId="0" xfId="0" applyFont="1" applyAlignment="1">
      <alignment horizontal="center" vertical="center"/>
    </xf>
    <xf numFmtId="0" fontId="0" fillId="0" borderId="14" xfId="0" applyBorder="1" applyAlignment="1">
      <alignment horizontal="center"/>
    </xf>
    <xf numFmtId="0" fontId="0" fillId="0" borderId="37" xfId="0" applyBorder="1" applyAlignment="1">
      <alignment horizontal="center"/>
    </xf>
    <xf numFmtId="0" fontId="7" fillId="0" borderId="75" xfId="0" applyFont="1" applyBorder="1" applyAlignment="1">
      <alignment horizontal="center"/>
    </xf>
    <xf numFmtId="0" fontId="0" fillId="0" borderId="75" xfId="0" applyBorder="1" applyAlignment="1">
      <alignment horizontal="center"/>
    </xf>
    <xf numFmtId="2" fontId="0" fillId="0" borderId="70" xfId="0" applyNumberFormat="1" applyFill="1" applyBorder="1" applyAlignment="1">
      <alignment horizontal="center" vertical="center"/>
    </xf>
    <xf numFmtId="2" fontId="0" fillId="0" borderId="74" xfId="0" applyNumberFormat="1" applyFill="1" applyBorder="1" applyAlignment="1">
      <alignment horizontal="center" vertical="center"/>
    </xf>
    <xf numFmtId="0" fontId="0" fillId="0" borderId="63" xfId="0" applyFill="1" applyBorder="1" applyAlignment="1">
      <alignment horizontal="center"/>
    </xf>
    <xf numFmtId="0" fontId="7" fillId="0" borderId="74" xfId="0" applyFont="1" applyBorder="1" applyAlignment="1">
      <alignment horizontal="center"/>
    </xf>
    <xf numFmtId="2" fontId="0" fillId="0" borderId="70" xfId="0" applyNumberFormat="1" applyFill="1" applyBorder="1" applyAlignment="1">
      <alignment horizontal="center"/>
    </xf>
    <xf numFmtId="2" fontId="0" fillId="0" borderId="71" xfId="0" applyNumberFormat="1" applyFill="1" applyBorder="1" applyAlignment="1">
      <alignment horizontal="center"/>
    </xf>
    <xf numFmtId="2" fontId="0" fillId="0" borderId="74" xfId="0" applyNumberFormat="1" applyFill="1" applyBorder="1" applyAlignment="1">
      <alignment horizontal="center"/>
    </xf>
    <xf numFmtId="0" fontId="0" fillId="0" borderId="14" xfId="0" applyBorder="1" applyAlignment="1">
      <alignment horizontal="center" vertical="center"/>
    </xf>
    <xf numFmtId="2" fontId="0" fillId="0" borderId="64" xfId="0" applyNumberFormat="1" applyFill="1" applyBorder="1" applyAlignment="1">
      <alignment horizontal="center" vertical="center"/>
    </xf>
    <xf numFmtId="0" fontId="0" fillId="0" borderId="10" xfId="0" applyBorder="1" applyAlignment="1">
      <alignment horizontal="left" vertical="center"/>
    </xf>
    <xf numFmtId="43" fontId="0" fillId="6" borderId="60" xfId="1" applyFont="1" applyFill="1" applyBorder="1" applyAlignment="1">
      <alignment horizontal="center"/>
    </xf>
    <xf numFmtId="43" fontId="0" fillId="6" borderId="59" xfId="1" applyFont="1" applyFill="1" applyBorder="1" applyAlignment="1">
      <alignment horizontal="center"/>
    </xf>
    <xf numFmtId="2" fontId="0" fillId="5" borderId="23" xfId="0" applyNumberFormat="1" applyFill="1" applyBorder="1" applyAlignment="1">
      <alignment horizontal="center"/>
    </xf>
    <xf numFmtId="43" fontId="0" fillId="6" borderId="61" xfId="1" applyFont="1" applyFill="1" applyBorder="1" applyAlignment="1">
      <alignment horizontal="center"/>
    </xf>
    <xf numFmtId="168" fontId="0" fillId="5" borderId="42" xfId="0" applyNumberFormat="1" applyFill="1" applyBorder="1" applyAlignment="1">
      <alignment horizontal="center"/>
    </xf>
    <xf numFmtId="43" fontId="0" fillId="6" borderId="17" xfId="1" applyFont="1" applyFill="1" applyBorder="1" applyAlignment="1">
      <alignment horizontal="center"/>
    </xf>
    <xf numFmtId="2" fontId="0" fillId="4" borderId="42" xfId="0" applyNumberFormat="1" applyFill="1" applyBorder="1" applyAlignment="1">
      <alignment horizontal="center"/>
    </xf>
    <xf numFmtId="2" fontId="0" fillId="4" borderId="46" xfId="0" applyNumberFormat="1" applyFill="1" applyBorder="1" applyAlignment="1">
      <alignment horizontal="center"/>
    </xf>
    <xf numFmtId="9" fontId="0" fillId="4" borderId="23" xfId="2" applyFont="1" applyFill="1" applyBorder="1" applyAlignment="1">
      <alignment horizontal="center"/>
    </xf>
    <xf numFmtId="0" fontId="0" fillId="0" borderId="9" xfId="0" applyFill="1" applyBorder="1"/>
    <xf numFmtId="43" fontId="7" fillId="0" borderId="5" xfId="0" applyNumberFormat="1" applyFont="1" applyFill="1" applyBorder="1" applyAlignment="1">
      <alignment horizontal="center"/>
    </xf>
    <xf numFmtId="0" fontId="0" fillId="0" borderId="5" xfId="0" applyFill="1" applyBorder="1" applyAlignment="1">
      <alignment horizontal="center"/>
    </xf>
    <xf numFmtId="0" fontId="7" fillId="4" borderId="14" xfId="0" applyFont="1" applyFill="1" applyBorder="1" applyAlignment="1">
      <alignment horizontal="center"/>
    </xf>
    <xf numFmtId="0" fontId="7" fillId="4" borderId="37" xfId="0" applyFont="1" applyFill="1" applyBorder="1" applyAlignment="1">
      <alignment horizontal="center"/>
    </xf>
    <xf numFmtId="0" fontId="0" fillId="5" borderId="26" xfId="0" applyFill="1" applyBorder="1" applyAlignment="1">
      <alignment horizontal="center"/>
    </xf>
    <xf numFmtId="0" fontId="0" fillId="5" borderId="33" xfId="0" applyFill="1" applyBorder="1" applyAlignment="1">
      <alignment horizontal="center"/>
    </xf>
    <xf numFmtId="0" fontId="0" fillId="5" borderId="75" xfId="0" applyFill="1" applyBorder="1" applyAlignment="1">
      <alignment horizontal="center"/>
    </xf>
    <xf numFmtId="0" fontId="0" fillId="5" borderId="27" xfId="0" applyFill="1" applyBorder="1" applyAlignment="1">
      <alignment horizontal="center"/>
    </xf>
    <xf numFmtId="0" fontId="0" fillId="5" borderId="24" xfId="0" applyFill="1" applyBorder="1"/>
    <xf numFmtId="0" fontId="0" fillId="5" borderId="17" xfId="0" applyFill="1" applyBorder="1"/>
    <xf numFmtId="0" fontId="0" fillId="5" borderId="51" xfId="0" applyFill="1" applyBorder="1"/>
    <xf numFmtId="2" fontId="0" fillId="5" borderId="69" xfId="0" applyNumberFormat="1" applyFill="1" applyBorder="1" applyAlignment="1">
      <alignment horizontal="center"/>
    </xf>
    <xf numFmtId="0" fontId="0" fillId="0" borderId="76" xfId="0" applyBorder="1" applyAlignment="1">
      <alignment horizontal="left" vertical="center"/>
    </xf>
    <xf numFmtId="0" fontId="0" fillId="0" borderId="77" xfId="0" applyBorder="1" applyAlignment="1">
      <alignment horizontal="left" vertical="center"/>
    </xf>
    <xf numFmtId="0" fontId="0" fillId="5" borderId="77" xfId="0" applyFill="1" applyBorder="1" applyAlignment="1">
      <alignment horizontal="left" vertical="center"/>
    </xf>
    <xf numFmtId="0" fontId="0" fillId="5" borderId="78" xfId="0" applyFill="1" applyBorder="1" applyAlignment="1">
      <alignment horizontal="left" vertical="center"/>
    </xf>
    <xf numFmtId="0" fontId="0" fillId="0" borderId="78" xfId="0" applyBorder="1" applyAlignment="1">
      <alignment horizontal="left" vertical="center"/>
    </xf>
    <xf numFmtId="0" fontId="0" fillId="5" borderId="79" xfId="0" applyFill="1" applyBorder="1"/>
    <xf numFmtId="0" fontId="0" fillId="5" borderId="80" xfId="0" applyFill="1" applyBorder="1"/>
    <xf numFmtId="0" fontId="0" fillId="4" borderId="11" xfId="0" applyFill="1" applyBorder="1"/>
    <xf numFmtId="2" fontId="0" fillId="4" borderId="65" xfId="0" applyNumberFormat="1" applyFill="1" applyBorder="1" applyAlignment="1">
      <alignment horizontal="center" vertical="center"/>
    </xf>
    <xf numFmtId="2" fontId="0" fillId="4" borderId="67" xfId="0" applyNumberFormat="1" applyFill="1" applyBorder="1" applyAlignment="1">
      <alignment horizontal="center" vertical="center"/>
    </xf>
    <xf numFmtId="2" fontId="0" fillId="4" borderId="73" xfId="0" applyNumberFormat="1" applyFill="1" applyBorder="1" applyAlignment="1">
      <alignment horizontal="center" vertical="center"/>
    </xf>
    <xf numFmtId="2" fontId="0" fillId="4" borderId="74" xfId="0" applyNumberFormat="1" applyFill="1" applyBorder="1" applyAlignment="1">
      <alignment horizontal="center" vertical="center"/>
    </xf>
    <xf numFmtId="2" fontId="0" fillId="2" borderId="20" xfId="0" applyNumberFormat="1" applyFill="1" applyBorder="1" applyAlignment="1">
      <alignment horizontal="center" vertical="center"/>
    </xf>
    <xf numFmtId="2" fontId="0" fillId="0" borderId="22" xfId="0" applyNumberFormat="1" applyFill="1" applyBorder="1" applyAlignment="1">
      <alignment horizontal="center" vertical="center"/>
    </xf>
    <xf numFmtId="0" fontId="0" fillId="0" borderId="67" xfId="0" applyBorder="1" applyAlignment="1">
      <alignment horizontal="center" vertical="center"/>
    </xf>
    <xf numFmtId="0" fontId="10" fillId="0" borderId="0" xfId="0" applyFont="1" applyFill="1" applyBorder="1"/>
    <xf numFmtId="2" fontId="10" fillId="0" borderId="0" xfId="0" applyNumberFormat="1" applyFont="1" applyFill="1" applyBorder="1" applyAlignment="1">
      <alignment horizontal="center" vertical="center"/>
    </xf>
    <xf numFmtId="2" fontId="10" fillId="0" borderId="0" xfId="0" applyNumberFormat="1" applyFont="1" applyFill="1" applyBorder="1" applyAlignment="1">
      <alignment horizontal="center"/>
    </xf>
    <xf numFmtId="0" fontId="0" fillId="0" borderId="0" xfId="0" applyFill="1" applyBorder="1" applyAlignment="1">
      <alignment vertical="center"/>
    </xf>
    <xf numFmtId="167" fontId="10" fillId="0" borderId="0" xfId="0" applyNumberFormat="1" applyFont="1" applyFill="1" applyBorder="1" applyAlignment="1">
      <alignment horizontal="center" vertical="center"/>
    </xf>
    <xf numFmtId="0" fontId="0" fillId="4" borderId="69" xfId="0" applyFill="1" applyBorder="1"/>
    <xf numFmtId="0" fontId="0" fillId="0" borderId="14" xfId="0" applyBorder="1" applyAlignment="1">
      <alignment horizontal="center"/>
    </xf>
    <xf numFmtId="2" fontId="0" fillId="8" borderId="4" xfId="0" applyNumberFormat="1" applyFill="1" applyBorder="1" applyAlignment="1">
      <alignment horizontal="center" vertical="center"/>
    </xf>
    <xf numFmtId="9" fontId="0" fillId="0" borderId="0" xfId="2" applyFont="1" applyBorder="1" applyAlignment="1">
      <alignment horizontal="center"/>
    </xf>
    <xf numFmtId="0" fontId="0" fillId="0" borderId="65" xfId="0" applyBorder="1" applyAlignment="1">
      <alignment horizontal="center"/>
    </xf>
    <xf numFmtId="2" fontId="10" fillId="2" borderId="14" xfId="0" applyNumberFormat="1" applyFont="1" applyFill="1" applyBorder="1" applyAlignment="1">
      <alignment horizontal="center"/>
    </xf>
    <xf numFmtId="2" fontId="0" fillId="2" borderId="42" xfId="0" applyNumberFormat="1" applyFill="1" applyBorder="1" applyAlignment="1">
      <alignment horizontal="center" vertical="center"/>
    </xf>
    <xf numFmtId="0" fontId="0" fillId="0" borderId="47" xfId="0" applyBorder="1" applyAlignment="1">
      <alignment horizontal="left"/>
    </xf>
    <xf numFmtId="2" fontId="0" fillId="2" borderId="47" xfId="0" applyNumberFormat="1" applyFill="1" applyBorder="1" applyAlignment="1">
      <alignment horizontal="center" vertical="center"/>
    </xf>
    <xf numFmtId="2" fontId="0" fillId="2" borderId="43" xfId="0" applyNumberFormat="1" applyFill="1" applyBorder="1" applyAlignment="1">
      <alignment horizontal="center" vertical="center"/>
    </xf>
    <xf numFmtId="2" fontId="0" fillId="2" borderId="77" xfId="0" applyNumberFormat="1" applyFill="1" applyBorder="1" applyAlignment="1">
      <alignment horizontal="center" vertical="center"/>
    </xf>
    <xf numFmtId="2" fontId="0" fillId="2" borderId="44" xfId="0" applyNumberFormat="1" applyFill="1" applyBorder="1" applyAlignment="1">
      <alignment horizontal="center" vertical="center"/>
    </xf>
    <xf numFmtId="0" fontId="0" fillId="2" borderId="0" xfId="0" applyFill="1" applyBorder="1" applyAlignment="1">
      <alignment horizontal="center" vertical="center"/>
    </xf>
    <xf numFmtId="0" fontId="13" fillId="2" borderId="0" xfId="0" applyFont="1" applyFill="1" applyBorder="1"/>
    <xf numFmtId="2" fontId="13" fillId="2" borderId="0" xfId="0" applyNumberFormat="1" applyFont="1" applyFill="1" applyBorder="1" applyAlignment="1">
      <alignment horizontal="center" vertical="center"/>
    </xf>
    <xf numFmtId="2" fontId="11" fillId="2" borderId="0" xfId="0" applyNumberFormat="1" applyFont="1" applyFill="1"/>
    <xf numFmtId="0" fontId="0" fillId="2" borderId="0" xfId="0" applyFill="1"/>
    <xf numFmtId="0" fontId="0" fillId="2" borderId="0" xfId="0" applyFill="1" applyBorder="1" applyAlignment="1">
      <alignment vertical="center"/>
    </xf>
    <xf numFmtId="0" fontId="10" fillId="2" borderId="0" xfId="0" applyFont="1" applyFill="1" applyBorder="1"/>
    <xf numFmtId="167" fontId="10" fillId="2" borderId="0" xfId="0" applyNumberFormat="1" applyFont="1" applyFill="1" applyBorder="1" applyAlignment="1">
      <alignment horizontal="center" vertical="center"/>
    </xf>
    <xf numFmtId="0" fontId="0" fillId="0" borderId="43" xfId="0" applyBorder="1" applyAlignment="1">
      <alignment horizontal="left"/>
    </xf>
    <xf numFmtId="2" fontId="0" fillId="0" borderId="77" xfId="0" applyNumberFormat="1" applyBorder="1" applyAlignment="1">
      <alignment horizontal="center"/>
    </xf>
    <xf numFmtId="2" fontId="0" fillId="2" borderId="43" xfId="0" applyNumberFormat="1" applyFill="1" applyBorder="1" applyAlignment="1">
      <alignment horizontal="center"/>
    </xf>
    <xf numFmtId="2" fontId="10" fillId="2" borderId="44" xfId="0" applyNumberFormat="1" applyFont="1" applyFill="1" applyBorder="1" applyAlignment="1">
      <alignment horizontal="center" vertical="center"/>
    </xf>
    <xf numFmtId="2" fontId="12" fillId="0" borderId="0" xfId="0" applyNumberFormat="1" applyFont="1" applyFill="1" applyBorder="1" applyAlignment="1">
      <alignment horizontal="center" vertical="center"/>
    </xf>
    <xf numFmtId="2" fontId="0" fillId="0" borderId="0" xfId="0" applyNumberFormat="1"/>
    <xf numFmtId="0" fontId="12" fillId="0" borderId="0" xfId="0" applyFont="1"/>
    <xf numFmtId="2" fontId="0" fillId="0" borderId="23" xfId="0" applyNumberFormat="1" applyBorder="1" applyAlignment="1">
      <alignment horizontal="center"/>
    </xf>
    <xf numFmtId="0" fontId="0" fillId="0" borderId="14" xfId="0" applyBorder="1" applyAlignment="1">
      <alignment horizontal="center"/>
    </xf>
    <xf numFmtId="0" fontId="0" fillId="0" borderId="0" xfId="0" applyBorder="1" applyAlignment="1">
      <alignment horizontal="center"/>
    </xf>
    <xf numFmtId="0" fontId="0" fillId="0" borderId="25" xfId="0" applyBorder="1" applyAlignment="1">
      <alignment horizontal="center" vertical="center"/>
    </xf>
    <xf numFmtId="0" fontId="0" fillId="6" borderId="45" xfId="0" applyFill="1" applyBorder="1" applyAlignment="1">
      <alignment horizontal="center"/>
    </xf>
    <xf numFmtId="166" fontId="0" fillId="0" borderId="0" xfId="0" applyNumberFormat="1"/>
    <xf numFmtId="166" fontId="0" fillId="0" borderId="0" xfId="0" applyNumberFormat="1" applyAlignment="1">
      <alignment horizontal="center"/>
    </xf>
    <xf numFmtId="0" fontId="10" fillId="0" borderId="0" xfId="0" applyFont="1"/>
    <xf numFmtId="8" fontId="0" fillId="0" borderId="0" xfId="0" applyNumberFormat="1"/>
    <xf numFmtId="166" fontId="0" fillId="0" borderId="49" xfId="0" applyNumberFormat="1" applyBorder="1"/>
    <xf numFmtId="0" fontId="0" fillId="0" borderId="19" xfId="0" applyBorder="1"/>
    <xf numFmtId="9" fontId="0" fillId="0" borderId="0" xfId="2" applyFont="1" applyBorder="1"/>
    <xf numFmtId="166" fontId="0" fillId="4" borderId="37" xfId="0" applyNumberFormat="1" applyFill="1" applyBorder="1" applyAlignment="1">
      <alignment horizontal="center"/>
    </xf>
    <xf numFmtId="166" fontId="0" fillId="5" borderId="8" xfId="1" applyNumberFormat="1" applyFont="1" applyFill="1" applyBorder="1" applyAlignment="1">
      <alignment horizontal="center"/>
    </xf>
    <xf numFmtId="166" fontId="0" fillId="5" borderId="5" xfId="1" applyNumberFormat="1" applyFont="1" applyFill="1" applyBorder="1" applyAlignment="1">
      <alignment horizontal="center"/>
    </xf>
    <xf numFmtId="0" fontId="0" fillId="9" borderId="0" xfId="0" applyFill="1"/>
    <xf numFmtId="0" fontId="0" fillId="10" borderId="0" xfId="0" applyFill="1"/>
    <xf numFmtId="0" fontId="0" fillId="8" borderId="0" xfId="0" applyFill="1"/>
    <xf numFmtId="0" fontId="0" fillId="11" borderId="0" xfId="0" applyFill="1"/>
    <xf numFmtId="0" fontId="0" fillId="12" borderId="0" xfId="0" applyFill="1"/>
    <xf numFmtId="169" fontId="0" fillId="0" borderId="5" xfId="2" applyNumberFormat="1" applyFont="1" applyBorder="1" applyAlignment="1">
      <alignment horizontal="center"/>
    </xf>
    <xf numFmtId="169" fontId="0" fillId="0" borderId="7" xfId="2" applyNumberFormat="1" applyFont="1" applyBorder="1" applyAlignment="1">
      <alignment horizontal="center"/>
    </xf>
    <xf numFmtId="0" fontId="0" fillId="8" borderId="0" xfId="0" applyFill="1" applyBorder="1"/>
    <xf numFmtId="0" fontId="0" fillId="0" borderId="14" xfId="0" applyBorder="1" applyAlignment="1">
      <alignment horizontal="center"/>
    </xf>
    <xf numFmtId="0" fontId="0" fillId="0" borderId="37" xfId="0" applyBorder="1" applyAlignment="1">
      <alignment horizontal="center"/>
    </xf>
    <xf numFmtId="0" fontId="0" fillId="0" borderId="15" xfId="0" applyBorder="1" applyAlignment="1">
      <alignment horizontal="center"/>
    </xf>
    <xf numFmtId="0" fontId="0" fillId="6" borderId="45" xfId="0" applyFill="1" applyBorder="1" applyAlignment="1">
      <alignment horizontal="center"/>
    </xf>
    <xf numFmtId="0" fontId="0" fillId="0" borderId="37" xfId="0" applyBorder="1" applyAlignment="1">
      <alignment horizontal="center"/>
    </xf>
    <xf numFmtId="0" fontId="0" fillId="0" borderId="28" xfId="0" applyBorder="1"/>
    <xf numFmtId="2" fontId="13" fillId="2" borderId="1" xfId="0" applyNumberFormat="1" applyFont="1" applyFill="1" applyBorder="1"/>
    <xf numFmtId="0" fontId="13" fillId="0" borderId="0" xfId="0" applyFont="1"/>
    <xf numFmtId="0" fontId="0" fillId="0" borderId="65" xfId="0" applyFont="1" applyFill="1" applyBorder="1" applyAlignment="1">
      <alignment horizontal="center" vertical="center"/>
    </xf>
    <xf numFmtId="0" fontId="0" fillId="0" borderId="74" xfId="0" applyFont="1" applyFill="1" applyBorder="1" applyAlignment="1">
      <alignment horizontal="center"/>
    </xf>
    <xf numFmtId="0" fontId="0" fillId="0" borderId="0" xfId="0" applyBorder="1" applyAlignment="1">
      <alignment horizontal="center"/>
    </xf>
    <xf numFmtId="0" fontId="0" fillId="0" borderId="50" xfId="0" applyBorder="1" applyAlignment="1">
      <alignment horizontal="center"/>
    </xf>
    <xf numFmtId="0" fontId="0" fillId="0" borderId="24" xfId="0" applyBorder="1" applyAlignment="1">
      <alignment horizontal="center" vertical="center"/>
    </xf>
    <xf numFmtId="0" fontId="0" fillId="0" borderId="49" xfId="0" applyBorder="1" applyAlignment="1">
      <alignment horizontal="center"/>
    </xf>
    <xf numFmtId="0" fontId="0" fillId="0" borderId="14" xfId="0" applyBorder="1" applyAlignment="1">
      <alignment horizontal="center"/>
    </xf>
    <xf numFmtId="0" fontId="0" fillId="0" borderId="37" xfId="0" applyBorder="1" applyAlignment="1">
      <alignment horizontal="center"/>
    </xf>
    <xf numFmtId="0" fontId="0" fillId="0" borderId="16" xfId="0" applyBorder="1" applyAlignment="1">
      <alignment horizontal="center" vertical="center"/>
    </xf>
    <xf numFmtId="0" fontId="0" fillId="0" borderId="49" xfId="0" applyBorder="1" applyAlignment="1">
      <alignment horizontal="center" vertical="center"/>
    </xf>
    <xf numFmtId="0" fontId="0" fillId="0" borderId="24" xfId="0" applyBorder="1" applyAlignment="1">
      <alignment horizontal="center"/>
    </xf>
    <xf numFmtId="2" fontId="0" fillId="8" borderId="1" xfId="0" applyNumberFormat="1" applyFill="1" applyBorder="1" applyAlignment="1">
      <alignment horizontal="center" vertical="center"/>
    </xf>
    <xf numFmtId="15" fontId="0" fillId="0" borderId="0" xfId="0" applyNumberFormat="1"/>
    <xf numFmtId="0" fontId="0" fillId="0" borderId="51" xfId="0" applyBorder="1" applyAlignment="1"/>
    <xf numFmtId="0" fontId="0" fillId="0" borderId="43" xfId="0" applyBorder="1" applyAlignment="1"/>
    <xf numFmtId="2" fontId="0" fillId="0" borderId="49" xfId="0" applyNumberFormat="1" applyBorder="1" applyAlignment="1">
      <alignment horizontal="center"/>
    </xf>
    <xf numFmtId="2" fontId="0" fillId="0" borderId="24" xfId="0" applyNumberFormat="1" applyBorder="1" applyAlignment="1">
      <alignment horizontal="center"/>
    </xf>
    <xf numFmtId="1" fontId="0" fillId="5" borderId="79" xfId="0" applyNumberFormat="1" applyFill="1" applyBorder="1" applyAlignment="1">
      <alignment horizontal="center"/>
    </xf>
    <xf numFmtId="1" fontId="0" fillId="5" borderId="42" xfId="0" applyNumberFormat="1" applyFill="1" applyBorder="1" applyAlignment="1">
      <alignment horizontal="center"/>
    </xf>
    <xf numFmtId="1" fontId="0" fillId="0" borderId="77" xfId="0" applyNumberFormat="1" applyBorder="1" applyAlignment="1">
      <alignment horizontal="center"/>
    </xf>
    <xf numFmtId="1" fontId="0" fillId="0" borderId="43" xfId="0" applyNumberFormat="1" applyBorder="1" applyAlignment="1">
      <alignment horizontal="center"/>
    </xf>
    <xf numFmtId="1" fontId="0" fillId="5" borderId="78" xfId="0" applyNumberFormat="1" applyFill="1" applyBorder="1" applyAlignment="1">
      <alignment horizontal="center"/>
    </xf>
    <xf numFmtId="1" fontId="0" fillId="5" borderId="46" xfId="0" applyNumberFormat="1" applyFill="1" applyBorder="1" applyAlignment="1">
      <alignment horizontal="center"/>
    </xf>
    <xf numFmtId="9" fontId="0" fillId="5" borderId="49" xfId="2" applyFont="1" applyFill="1" applyBorder="1" applyAlignment="1">
      <alignment horizontal="center"/>
    </xf>
    <xf numFmtId="9" fontId="0" fillId="5" borderId="24" xfId="2" applyFont="1" applyFill="1" applyBorder="1" applyAlignment="1">
      <alignment horizontal="center"/>
    </xf>
    <xf numFmtId="0" fontId="0" fillId="0" borderId="23" xfId="0" applyFill="1" applyBorder="1"/>
    <xf numFmtId="2" fontId="0" fillId="0" borderId="50" xfId="0" applyNumberFormat="1" applyBorder="1" applyAlignment="1">
      <alignment horizontal="center"/>
    </xf>
    <xf numFmtId="0" fontId="0" fillId="0" borderId="50" xfId="0" applyBorder="1"/>
    <xf numFmtId="0" fontId="0" fillId="0" borderId="24" xfId="0" applyBorder="1" applyAlignment="1">
      <alignment horizontal="left" vertical="center"/>
    </xf>
    <xf numFmtId="0" fontId="0" fillId="5" borderId="77" xfId="0" applyFill="1" applyBorder="1" applyAlignment="1">
      <alignment horizontal="center" vertical="center"/>
    </xf>
    <xf numFmtId="10" fontId="0" fillId="4" borderId="43" xfId="2" applyNumberFormat="1" applyFont="1" applyFill="1" applyBorder="1" applyAlignment="1">
      <alignment horizontal="center" vertical="center"/>
    </xf>
    <xf numFmtId="1" fontId="0" fillId="5" borderId="77" xfId="0" applyNumberFormat="1" applyFill="1" applyBorder="1" applyAlignment="1">
      <alignment horizontal="center" vertical="center"/>
    </xf>
    <xf numFmtId="0" fontId="0" fillId="0" borderId="25" xfId="0" applyFill="1" applyBorder="1" applyAlignment="1">
      <alignment horizontal="left" vertical="center"/>
    </xf>
    <xf numFmtId="0" fontId="0" fillId="0" borderId="2" xfId="0" applyFill="1" applyBorder="1" applyAlignment="1">
      <alignment horizontal="left"/>
    </xf>
    <xf numFmtId="0" fontId="0" fillId="0" borderId="3" xfId="0" applyFill="1" applyBorder="1" applyAlignment="1">
      <alignment horizontal="left"/>
    </xf>
    <xf numFmtId="2" fontId="0" fillId="13" borderId="49" xfId="0" applyNumberFormat="1" applyFill="1" applyBorder="1" applyAlignment="1">
      <alignment horizontal="center"/>
    </xf>
    <xf numFmtId="1" fontId="0" fillId="4" borderId="52" xfId="0" applyNumberFormat="1" applyFill="1" applyBorder="1" applyAlignment="1">
      <alignment horizontal="center"/>
    </xf>
    <xf numFmtId="0" fontId="0" fillId="0" borderId="5" xfId="0" applyBorder="1"/>
    <xf numFmtId="2" fontId="0" fillId="13" borderId="0" xfId="0" applyNumberFormat="1" applyFill="1" applyBorder="1" applyAlignment="1">
      <alignment horizontal="center"/>
    </xf>
    <xf numFmtId="1" fontId="0" fillId="0" borderId="0" xfId="0" applyNumberFormat="1" applyBorder="1" applyAlignment="1">
      <alignment horizontal="center"/>
    </xf>
    <xf numFmtId="1" fontId="0" fillId="0" borderId="5" xfId="0" applyNumberFormat="1" applyBorder="1"/>
    <xf numFmtId="0" fontId="0" fillId="14" borderId="0" xfId="0" applyFill="1" applyBorder="1"/>
    <xf numFmtId="1" fontId="0" fillId="5" borderId="43" xfId="0" applyNumberFormat="1" applyFill="1" applyBorder="1" applyAlignment="1">
      <alignment horizontal="center"/>
    </xf>
    <xf numFmtId="0" fontId="0" fillId="14" borderId="19" xfId="0" applyFill="1" applyBorder="1"/>
    <xf numFmtId="43" fontId="0" fillId="5" borderId="44" xfId="1" applyNumberFormat="1" applyFont="1" applyFill="1" applyBorder="1" applyAlignment="1">
      <alignment horizontal="center"/>
    </xf>
    <xf numFmtId="0" fontId="0" fillId="0" borderId="7" xfId="0" applyBorder="1"/>
    <xf numFmtId="0" fontId="0" fillId="0" borderId="0" xfId="0" applyAlignment="1">
      <alignment horizontal="left"/>
    </xf>
    <xf numFmtId="1" fontId="0" fillId="5" borderId="23" xfId="0" applyNumberFormat="1" applyFill="1" applyBorder="1" applyAlignment="1">
      <alignment horizontal="center"/>
    </xf>
    <xf numFmtId="9" fontId="0" fillId="5" borderId="23" xfId="2" applyFont="1" applyFill="1" applyBorder="1" applyAlignment="1">
      <alignment horizontal="center"/>
    </xf>
    <xf numFmtId="1" fontId="0" fillId="0" borderId="23" xfId="0" applyNumberFormat="1" applyBorder="1" applyAlignment="1">
      <alignment horizontal="center"/>
    </xf>
    <xf numFmtId="2" fontId="0" fillId="4" borderId="77" xfId="0" applyNumberFormat="1" applyFill="1" applyBorder="1" applyAlignment="1">
      <alignment horizontal="center" vertical="center"/>
    </xf>
    <xf numFmtId="43" fontId="0" fillId="5" borderId="51" xfId="1" applyFont="1" applyFill="1" applyBorder="1" applyAlignment="1">
      <alignment horizontal="center"/>
    </xf>
    <xf numFmtId="2" fontId="0" fillId="4" borderId="78" xfId="0" applyNumberFormat="1" applyFill="1" applyBorder="1" applyAlignment="1">
      <alignment horizontal="center" vertical="center"/>
    </xf>
    <xf numFmtId="10" fontId="0" fillId="4" borderId="46" xfId="2" applyNumberFormat="1" applyFont="1" applyFill="1" applyBorder="1" applyAlignment="1">
      <alignment horizontal="center" vertical="center"/>
    </xf>
    <xf numFmtId="170" fontId="0" fillId="5" borderId="23" xfId="0" applyNumberFormat="1" applyFill="1" applyBorder="1" applyAlignment="1">
      <alignment horizontal="center"/>
    </xf>
    <xf numFmtId="43" fontId="0" fillId="5" borderId="23" xfId="1" applyFont="1" applyFill="1" applyBorder="1" applyAlignment="1">
      <alignment horizontal="center"/>
    </xf>
    <xf numFmtId="171" fontId="0" fillId="5" borderId="0" xfId="0" applyNumberFormat="1" applyFill="1" applyBorder="1" applyAlignment="1">
      <alignment horizontal="center" vertical="center"/>
    </xf>
    <xf numFmtId="171" fontId="0" fillId="5" borderId="23" xfId="0" applyNumberFormat="1" applyFill="1" applyBorder="1" applyAlignment="1">
      <alignment horizontal="center"/>
    </xf>
    <xf numFmtId="0" fontId="0" fillId="0" borderId="37" xfId="0" applyBorder="1" applyAlignment="1">
      <alignment horizontal="center"/>
    </xf>
    <xf numFmtId="0" fontId="0" fillId="0" borderId="0" xfId="0" applyAlignment="1"/>
    <xf numFmtId="0" fontId="0" fillId="0" borderId="16" xfId="0" applyBorder="1" applyAlignment="1">
      <alignment horizontal="left"/>
    </xf>
    <xf numFmtId="0" fontId="0" fillId="0" borderId="17" xfId="0" applyBorder="1" applyAlignment="1">
      <alignment horizontal="left"/>
    </xf>
    <xf numFmtId="0" fontId="1" fillId="0" borderId="31" xfId="0" applyFont="1" applyBorder="1" applyAlignment="1">
      <alignment horizontal="center" vertical="center"/>
    </xf>
    <xf numFmtId="0" fontId="1" fillId="0" borderId="49" xfId="0" applyFont="1" applyBorder="1" applyAlignment="1">
      <alignment horizontal="center" vertical="center"/>
    </xf>
    <xf numFmtId="0" fontId="1" fillId="0" borderId="32" xfId="0" applyFont="1" applyBorder="1" applyAlignment="1">
      <alignment horizontal="center" vertical="center"/>
    </xf>
    <xf numFmtId="0" fontId="1" fillId="0" borderId="10" xfId="0" applyFont="1" applyBorder="1" applyAlignment="1">
      <alignment horizontal="center" vertical="center"/>
    </xf>
    <xf numFmtId="0" fontId="1" fillId="0" borderId="19" xfId="0" applyFont="1" applyBorder="1" applyAlignment="1">
      <alignment horizontal="center" vertical="center"/>
    </xf>
    <xf numFmtId="0" fontId="1" fillId="0" borderId="11" xfId="0" applyFont="1" applyBorder="1" applyAlignment="1">
      <alignment horizontal="center" vertical="center"/>
    </xf>
    <xf numFmtId="0" fontId="0" fillId="0" borderId="0" xfId="0" applyBorder="1" applyAlignment="1">
      <alignment horizontal="center"/>
    </xf>
    <xf numFmtId="0" fontId="0" fillId="0" borderId="16" xfId="0" applyBorder="1" applyAlignment="1">
      <alignment horizontal="center"/>
    </xf>
    <xf numFmtId="0" fontId="0" fillId="0" borderId="50" xfId="0" applyBorder="1" applyAlignment="1">
      <alignment horizontal="center"/>
    </xf>
    <xf numFmtId="0" fontId="0" fillId="0" borderId="17" xfId="0" applyBorder="1" applyAlignment="1">
      <alignment horizontal="center"/>
    </xf>
    <xf numFmtId="0" fontId="7" fillId="2" borderId="16" xfId="0" applyFont="1" applyFill="1" applyBorder="1" applyAlignment="1">
      <alignment horizontal="center"/>
    </xf>
    <xf numFmtId="0" fontId="7" fillId="2" borderId="50" xfId="0" applyFont="1" applyFill="1" applyBorder="1" applyAlignment="1">
      <alignment horizontal="center"/>
    </xf>
    <xf numFmtId="0" fontId="7" fillId="2" borderId="17" xfId="0" applyFont="1" applyFill="1" applyBorder="1" applyAlignment="1">
      <alignment horizontal="center"/>
    </xf>
    <xf numFmtId="0" fontId="0" fillId="0" borderId="31" xfId="0" applyBorder="1" applyAlignment="1">
      <alignment horizontal="center"/>
    </xf>
    <xf numFmtId="0" fontId="0" fillId="0" borderId="10" xfId="0" applyBorder="1" applyAlignment="1">
      <alignment horizontal="center"/>
    </xf>
    <xf numFmtId="0" fontId="6" fillId="0" borderId="49" xfId="0" applyFont="1" applyBorder="1" applyAlignment="1">
      <alignment horizontal="center" vertical="center"/>
    </xf>
    <xf numFmtId="0" fontId="6" fillId="0" borderId="19" xfId="0" applyFont="1" applyBorder="1" applyAlignment="1">
      <alignment horizontal="center" vertical="center"/>
    </xf>
    <xf numFmtId="0" fontId="0" fillId="0" borderId="24" xfId="0" applyBorder="1" applyAlignment="1">
      <alignment horizontal="center" vertical="center"/>
    </xf>
    <xf numFmtId="0" fontId="0" fillId="0" borderId="73" xfId="0" applyBorder="1" applyAlignment="1">
      <alignment horizontal="center" vertical="center"/>
    </xf>
    <xf numFmtId="0" fontId="0" fillId="0" borderId="10" xfId="0" applyBorder="1" applyAlignment="1">
      <alignment horizontal="center" vertical="center"/>
    </xf>
    <xf numFmtId="0" fontId="0" fillId="0" borderId="49" xfId="0" applyBorder="1" applyAlignment="1">
      <alignment horizontal="center"/>
    </xf>
    <xf numFmtId="0" fontId="0" fillId="0" borderId="32" xfId="0" applyBorder="1" applyAlignment="1">
      <alignment horizontal="center"/>
    </xf>
    <xf numFmtId="0" fontId="0" fillId="0" borderId="31" xfId="0" applyBorder="1" applyAlignment="1">
      <alignment horizontal="center" vertical="center"/>
    </xf>
    <xf numFmtId="0" fontId="0" fillId="0" borderId="14" xfId="0" applyBorder="1" applyAlignment="1">
      <alignment horizontal="center"/>
    </xf>
    <xf numFmtId="0" fontId="0" fillId="0" borderId="37" xfId="0" applyBorder="1" applyAlignment="1">
      <alignment horizontal="center"/>
    </xf>
    <xf numFmtId="0" fontId="0" fillId="0" borderId="15" xfId="0" applyBorder="1" applyAlignment="1">
      <alignment horizontal="center"/>
    </xf>
    <xf numFmtId="0" fontId="10" fillId="8" borderId="50" xfId="0" applyFont="1" applyFill="1" applyBorder="1" applyAlignment="1">
      <alignment horizontal="center"/>
    </xf>
    <xf numFmtId="0" fontId="0" fillId="0" borderId="51" xfId="0" applyBorder="1" applyAlignment="1">
      <alignment horizontal="center" vertical="center"/>
    </xf>
    <xf numFmtId="0" fontId="0" fillId="0" borderId="25" xfId="0" applyBorder="1" applyAlignment="1">
      <alignment horizontal="center" vertical="center"/>
    </xf>
    <xf numFmtId="0" fontId="5" fillId="0" borderId="31" xfId="0" applyFont="1" applyBorder="1" applyAlignment="1">
      <alignment horizontal="center"/>
    </xf>
    <xf numFmtId="0" fontId="5" fillId="0" borderId="49" xfId="0" applyFont="1" applyBorder="1" applyAlignment="1">
      <alignment horizontal="center"/>
    </xf>
    <xf numFmtId="0" fontId="5" fillId="0" borderId="32" xfId="0" applyFont="1" applyBorder="1" applyAlignment="1">
      <alignment horizontal="center"/>
    </xf>
    <xf numFmtId="0" fontId="0" fillId="0" borderId="24" xfId="0" applyFill="1" applyBorder="1" applyAlignment="1">
      <alignment horizontal="center" vertical="center"/>
    </xf>
    <xf numFmtId="0" fontId="0" fillId="0" borderId="51" xfId="0" applyFill="1" applyBorder="1" applyAlignment="1">
      <alignment horizontal="center" vertical="center"/>
    </xf>
    <xf numFmtId="0" fontId="0" fillId="0" borderId="25" xfId="0" applyFill="1" applyBorder="1" applyAlignment="1">
      <alignment horizontal="center" vertical="center"/>
    </xf>
    <xf numFmtId="0" fontId="0" fillId="0" borderId="16" xfId="0" applyBorder="1" applyAlignment="1">
      <alignment horizontal="center" vertical="center"/>
    </xf>
    <xf numFmtId="0" fontId="0" fillId="0" borderId="50" xfId="0" applyBorder="1" applyAlignment="1">
      <alignment horizontal="center" vertical="center"/>
    </xf>
    <xf numFmtId="0" fontId="0" fillId="0" borderId="49" xfId="0" applyBorder="1" applyAlignment="1">
      <alignment horizontal="center" vertical="center"/>
    </xf>
    <xf numFmtId="0" fontId="0" fillId="0" borderId="32" xfId="0" applyBorder="1" applyAlignment="1">
      <alignment horizontal="center" vertical="center"/>
    </xf>
    <xf numFmtId="166" fontId="5" fillId="0" borderId="16" xfId="1" applyNumberFormat="1" applyFont="1" applyBorder="1" applyAlignment="1">
      <alignment horizontal="center" vertical="center"/>
    </xf>
    <xf numFmtId="166" fontId="5" fillId="0" borderId="50" xfId="1" applyNumberFormat="1" applyFont="1" applyBorder="1" applyAlignment="1">
      <alignment horizontal="center" vertical="center"/>
    </xf>
    <xf numFmtId="166" fontId="5" fillId="0" borderId="17" xfId="1" applyNumberFormat="1" applyFont="1" applyBorder="1" applyAlignment="1">
      <alignment horizontal="center" vertical="center"/>
    </xf>
    <xf numFmtId="10" fontId="5" fillId="0" borderId="10" xfId="2" applyNumberFormat="1" applyFont="1" applyBorder="1" applyAlignment="1">
      <alignment horizontal="center"/>
    </xf>
    <xf numFmtId="10" fontId="5" fillId="0" borderId="19" xfId="2" applyNumberFormat="1" applyFont="1" applyBorder="1" applyAlignment="1">
      <alignment horizontal="center"/>
    </xf>
    <xf numFmtId="10" fontId="5" fillId="0" borderId="11" xfId="2" applyNumberFormat="1" applyFont="1" applyBorder="1" applyAlignment="1">
      <alignment horizontal="center"/>
    </xf>
    <xf numFmtId="0" fontId="7" fillId="4" borderId="31" xfId="0" applyFont="1" applyFill="1" applyBorder="1" applyAlignment="1">
      <alignment horizontal="center"/>
    </xf>
    <xf numFmtId="0" fontId="7" fillId="4" borderId="49" xfId="0" applyFont="1" applyFill="1" applyBorder="1" applyAlignment="1">
      <alignment horizontal="center"/>
    </xf>
    <xf numFmtId="0" fontId="7" fillId="4" borderId="32" xfId="0" applyFont="1"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7" fillId="4" borderId="16" xfId="0" applyFont="1" applyFill="1" applyBorder="1" applyAlignment="1">
      <alignment horizontal="center"/>
    </xf>
    <xf numFmtId="0" fontId="7" fillId="4" borderId="50" xfId="0" applyFont="1" applyFill="1" applyBorder="1" applyAlignment="1">
      <alignment horizontal="center"/>
    </xf>
    <xf numFmtId="0" fontId="7" fillId="4" borderId="17" xfId="0" applyFont="1" applyFill="1" applyBorder="1" applyAlignment="1">
      <alignment horizontal="center"/>
    </xf>
    <xf numFmtId="0" fontId="0" fillId="0" borderId="11"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6" fillId="0" borderId="31" xfId="0" applyFont="1" applyBorder="1" applyAlignment="1">
      <alignment horizontal="center" vertical="center"/>
    </xf>
    <xf numFmtId="0" fontId="6" fillId="0" borderId="32" xfId="0" applyFont="1" applyBorder="1" applyAlignment="1">
      <alignment horizontal="center" vertical="center"/>
    </xf>
    <xf numFmtId="0" fontId="6" fillId="0" borderId="10" xfId="0" applyFont="1" applyBorder="1" applyAlignment="1">
      <alignment horizontal="center" vertical="center"/>
    </xf>
    <xf numFmtId="0" fontId="6" fillId="0" borderId="11" xfId="0" applyFont="1" applyBorder="1" applyAlignment="1">
      <alignment horizontal="center" vertical="center"/>
    </xf>
    <xf numFmtId="0" fontId="1" fillId="0" borderId="0" xfId="0" applyFont="1" applyAlignment="1">
      <alignment horizontal="center" vertical="center"/>
    </xf>
    <xf numFmtId="0" fontId="0" fillId="0" borderId="16" xfId="0" applyFill="1" applyBorder="1" applyAlignment="1">
      <alignment horizontal="center"/>
    </xf>
    <xf numFmtId="0" fontId="0" fillId="0" borderId="49" xfId="0" applyFill="1" applyBorder="1" applyAlignment="1">
      <alignment horizontal="center"/>
    </xf>
    <xf numFmtId="0" fontId="0" fillId="0" borderId="32" xfId="0" applyFill="1" applyBorder="1" applyAlignment="1">
      <alignment horizontal="center"/>
    </xf>
    <xf numFmtId="0" fontId="0" fillId="8" borderId="31" xfId="0" applyFill="1" applyBorder="1" applyAlignment="1">
      <alignment horizontal="center" vertical="center"/>
    </xf>
    <xf numFmtId="0" fontId="0" fillId="8" borderId="32" xfId="0" applyFill="1" applyBorder="1" applyAlignment="1">
      <alignment horizontal="center" vertical="center"/>
    </xf>
    <xf numFmtId="0" fontId="0" fillId="8" borderId="73" xfId="0" applyFill="1" applyBorder="1" applyAlignment="1">
      <alignment horizontal="center" vertical="center"/>
    </xf>
    <xf numFmtId="0" fontId="0" fillId="8" borderId="69" xfId="0" applyFill="1" applyBorder="1" applyAlignment="1">
      <alignment horizontal="center" vertical="center"/>
    </xf>
    <xf numFmtId="0" fontId="0" fillId="8" borderId="10" xfId="0" applyFill="1" applyBorder="1" applyAlignment="1">
      <alignment horizontal="center" vertical="center"/>
    </xf>
    <xf numFmtId="0" fontId="0" fillId="8" borderId="11" xfId="0" applyFill="1" applyBorder="1" applyAlignment="1">
      <alignment horizontal="center" vertical="center"/>
    </xf>
    <xf numFmtId="0" fontId="0" fillId="0" borderId="52" xfId="0" applyBorder="1" applyAlignment="1">
      <alignment horizontal="center"/>
    </xf>
    <xf numFmtId="0" fontId="0" fillId="0" borderId="53" xfId="0" applyBorder="1" applyAlignment="1">
      <alignment horizontal="center"/>
    </xf>
    <xf numFmtId="0" fontId="1" fillId="0" borderId="0" xfId="0" applyFont="1" applyBorder="1" applyAlignment="1">
      <alignment horizontal="center" vertical="center"/>
    </xf>
    <xf numFmtId="0" fontId="7" fillId="4" borderId="10" xfId="0" applyFont="1" applyFill="1" applyBorder="1" applyAlignment="1">
      <alignment horizontal="center"/>
    </xf>
    <xf numFmtId="0" fontId="7" fillId="4" borderId="19" xfId="0" applyFont="1" applyFill="1" applyBorder="1" applyAlignment="1">
      <alignment horizontal="center"/>
    </xf>
    <xf numFmtId="0" fontId="7" fillId="4" borderId="11" xfId="0" applyFont="1" applyFill="1" applyBorder="1" applyAlignment="1">
      <alignment horizontal="center"/>
    </xf>
    <xf numFmtId="0" fontId="0" fillId="0" borderId="73" xfId="0" applyBorder="1" applyAlignment="1">
      <alignment horizontal="center"/>
    </xf>
    <xf numFmtId="0" fontId="0" fillId="0" borderId="69" xfId="0" applyBorder="1" applyAlignment="1">
      <alignment horizontal="center"/>
    </xf>
    <xf numFmtId="0" fontId="0" fillId="0" borderId="19" xfId="0" applyBorder="1" applyAlignment="1">
      <alignment horizontal="center"/>
    </xf>
    <xf numFmtId="0" fontId="1" fillId="0" borderId="69" xfId="0" applyFont="1" applyBorder="1" applyAlignment="1">
      <alignment horizontal="center" vertical="center"/>
    </xf>
    <xf numFmtId="0" fontId="1" fillId="0" borderId="31" xfId="0" applyFont="1" applyFill="1" applyBorder="1" applyAlignment="1">
      <alignment horizontal="center" vertical="center"/>
    </xf>
    <xf numFmtId="0" fontId="1" fillId="0" borderId="49" xfId="0" applyFont="1" applyFill="1" applyBorder="1" applyAlignment="1">
      <alignment horizontal="center" vertical="center"/>
    </xf>
    <xf numFmtId="0" fontId="1" fillId="0" borderId="32" xfId="0" applyFont="1" applyFill="1" applyBorder="1" applyAlignment="1">
      <alignment horizontal="center" vertical="center"/>
    </xf>
    <xf numFmtId="0" fontId="1" fillId="0" borderId="10" xfId="0" applyFont="1" applyFill="1" applyBorder="1" applyAlignment="1">
      <alignment horizontal="center" vertical="center"/>
    </xf>
    <xf numFmtId="0" fontId="1" fillId="0" borderId="19" xfId="0" applyFont="1" applyFill="1" applyBorder="1" applyAlignment="1">
      <alignment horizontal="center" vertical="center"/>
    </xf>
    <xf numFmtId="0" fontId="1" fillId="0" borderId="11" xfId="0" applyFont="1" applyFill="1" applyBorder="1" applyAlignment="1">
      <alignment horizontal="center" vertical="center"/>
    </xf>
    <xf numFmtId="0" fontId="0" fillId="0" borderId="51" xfId="0" applyBorder="1" applyAlignment="1">
      <alignment horizontal="center"/>
    </xf>
    <xf numFmtId="0" fontId="1" fillId="0" borderId="16" xfId="0" applyFont="1" applyBorder="1" applyAlignment="1">
      <alignment horizontal="center"/>
    </xf>
    <xf numFmtId="0" fontId="1" fillId="0" borderId="50" xfId="0" applyFont="1" applyBorder="1" applyAlignment="1">
      <alignment horizontal="center"/>
    </xf>
    <xf numFmtId="0" fontId="1" fillId="0" borderId="17" xfId="0" applyFont="1" applyBorder="1" applyAlignment="1">
      <alignment horizontal="center"/>
    </xf>
    <xf numFmtId="1" fontId="0" fillId="5" borderId="16" xfId="1" applyNumberFormat="1" applyFont="1" applyFill="1" applyBorder="1" applyAlignment="1">
      <alignment horizontal="center" vertical="center"/>
    </xf>
    <xf numFmtId="1" fontId="0" fillId="5" borderId="17" xfId="1" applyNumberFormat="1" applyFont="1" applyFill="1" applyBorder="1" applyAlignment="1">
      <alignment horizontal="center" vertical="center"/>
    </xf>
    <xf numFmtId="0" fontId="1" fillId="0" borderId="73" xfId="0" applyFont="1" applyBorder="1" applyAlignment="1">
      <alignment horizontal="center" vertical="center"/>
    </xf>
    <xf numFmtId="43" fontId="0" fillId="0" borderId="16" xfId="1" applyFont="1" applyBorder="1" applyAlignment="1">
      <alignment horizontal="center" vertical="center"/>
    </xf>
    <xf numFmtId="43" fontId="0" fillId="0" borderId="17" xfId="1" applyFont="1" applyBorder="1" applyAlignment="1">
      <alignment horizontal="center" vertical="center"/>
    </xf>
    <xf numFmtId="0" fontId="1" fillId="0" borderId="16" xfId="0" applyFont="1" applyBorder="1" applyAlignment="1">
      <alignment horizontal="center" vertical="center"/>
    </xf>
    <xf numFmtId="0" fontId="1" fillId="0" borderId="50" xfId="0" applyFont="1" applyBorder="1" applyAlignment="1">
      <alignment horizontal="center" vertical="center"/>
    </xf>
    <xf numFmtId="0" fontId="1" fillId="0" borderId="17" xfId="0" applyFont="1" applyBorder="1" applyAlignment="1">
      <alignment horizontal="center" vertical="center"/>
    </xf>
    <xf numFmtId="0" fontId="0" fillId="5" borderId="16" xfId="0" applyFill="1" applyBorder="1" applyAlignment="1">
      <alignment horizontal="center" vertical="center"/>
    </xf>
    <xf numFmtId="0" fontId="0" fillId="5" borderId="17" xfId="0" applyFill="1" applyBorder="1" applyAlignment="1">
      <alignment horizontal="center" vertical="center"/>
    </xf>
    <xf numFmtId="2" fontId="0" fillId="4" borderId="50" xfId="0" applyNumberFormat="1" applyFill="1" applyBorder="1" applyAlignment="1">
      <alignment horizontal="center" vertical="center"/>
    </xf>
    <xf numFmtId="2" fontId="0" fillId="4" borderId="17" xfId="0" applyNumberFormat="1" applyFill="1" applyBorder="1" applyAlignment="1">
      <alignment horizontal="center" vertical="center"/>
    </xf>
    <xf numFmtId="0" fontId="0" fillId="0" borderId="52" xfId="0" applyBorder="1" applyAlignment="1">
      <alignment horizontal="center" vertical="center"/>
    </xf>
    <xf numFmtId="0" fontId="0" fillId="0" borderId="53" xfId="0" applyBorder="1" applyAlignment="1">
      <alignment horizontal="center" vertical="center"/>
    </xf>
    <xf numFmtId="0" fontId="0" fillId="0" borderId="26" xfId="0" applyBorder="1" applyAlignment="1">
      <alignment horizontal="center"/>
    </xf>
    <xf numFmtId="0" fontId="0" fillId="0" borderId="27" xfId="0" applyBorder="1" applyAlignment="1">
      <alignment horizontal="center"/>
    </xf>
    <xf numFmtId="165" fontId="0" fillId="0" borderId="16" xfId="0" applyNumberFormat="1" applyFill="1" applyBorder="1" applyAlignment="1">
      <alignment horizontal="center"/>
    </xf>
    <xf numFmtId="165" fontId="0" fillId="0" borderId="17" xfId="0" applyNumberFormat="1" applyFill="1" applyBorder="1" applyAlignment="1">
      <alignment horizontal="center"/>
    </xf>
    <xf numFmtId="0" fontId="0" fillId="5" borderId="16" xfId="0" applyFill="1" applyBorder="1" applyAlignment="1">
      <alignment horizontal="center"/>
    </xf>
    <xf numFmtId="0" fontId="0" fillId="5" borderId="17" xfId="0" applyFill="1" applyBorder="1" applyAlignment="1">
      <alignment horizontal="center"/>
    </xf>
    <xf numFmtId="0" fontId="0" fillId="0" borderId="17" xfId="0" applyBorder="1" applyAlignment="1">
      <alignment horizontal="center" vertical="center"/>
    </xf>
    <xf numFmtId="0" fontId="0" fillId="0" borderId="0" xfId="0" applyAlignment="1"/>
    <xf numFmtId="0" fontId="0" fillId="6" borderId="50" xfId="0" applyFill="1" applyBorder="1" applyAlignment="1">
      <alignment horizontal="center"/>
    </xf>
    <xf numFmtId="0" fontId="0" fillId="6" borderId="45" xfId="0" applyFill="1" applyBorder="1" applyAlignment="1">
      <alignment horizontal="center"/>
    </xf>
    <xf numFmtId="0" fontId="0" fillId="7" borderId="74" xfId="0" applyFill="1" applyBorder="1" applyAlignment="1">
      <alignment horizontal="center" vertical="center"/>
    </xf>
    <xf numFmtId="0" fontId="0" fillId="7" borderId="18" xfId="0" applyFill="1" applyBorder="1" applyAlignment="1">
      <alignment horizontal="center" vertical="center"/>
    </xf>
    <xf numFmtId="0" fontId="0" fillId="7" borderId="68" xfId="0" applyFill="1" applyBorder="1" applyAlignment="1">
      <alignment horizontal="center" vertical="center"/>
    </xf>
    <xf numFmtId="0" fontId="0" fillId="7" borderId="41" xfId="0" applyFill="1" applyBorder="1" applyAlignment="1">
      <alignment horizontal="center" vertical="center"/>
    </xf>
    <xf numFmtId="0" fontId="0" fillId="7" borderId="62" xfId="0" applyFill="1" applyBorder="1" applyAlignment="1">
      <alignment horizontal="center" vertical="center"/>
    </xf>
    <xf numFmtId="0" fontId="0" fillId="7" borderId="40" xfId="0" applyFill="1" applyBorder="1" applyAlignment="1">
      <alignment horizontal="center" vertical="center"/>
    </xf>
    <xf numFmtId="0" fontId="0" fillId="0" borderId="16" xfId="0" applyFont="1" applyBorder="1" applyAlignment="1">
      <alignment horizontal="center" vertical="center"/>
    </xf>
    <xf numFmtId="0" fontId="0" fillId="0" borderId="17" xfId="0" applyFont="1" applyBorder="1" applyAlignment="1">
      <alignment horizontal="center" vertical="center"/>
    </xf>
    <xf numFmtId="0" fontId="0" fillId="4" borderId="10" xfId="0" applyFont="1" applyFill="1" applyBorder="1" applyAlignment="1">
      <alignment horizontal="center" vertical="center"/>
    </xf>
    <xf numFmtId="0" fontId="0" fillId="4" borderId="11" xfId="0" applyFont="1" applyFill="1" applyBorder="1" applyAlignment="1">
      <alignment horizontal="center" vertical="center"/>
    </xf>
    <xf numFmtId="0" fontId="0" fillId="0" borderId="50" xfId="0" applyFont="1" applyBorder="1" applyAlignment="1">
      <alignment horizontal="center" vertical="center"/>
    </xf>
    <xf numFmtId="0" fontId="0" fillId="0" borderId="0" xfId="0" applyAlignment="1">
      <alignment horizontal="center"/>
    </xf>
    <xf numFmtId="0" fontId="0" fillId="0" borderId="73" xfId="0" applyBorder="1" applyAlignment="1">
      <alignment wrapText="1"/>
    </xf>
  </cellXfs>
  <cellStyles count="3">
    <cellStyle name="Milliers" xfId="1" builtinId="3"/>
    <cellStyle name="Normal" xfId="0" builtinId="0"/>
    <cellStyle name="Pourcentage" xfId="2" builtinId="5"/>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9525</xdr:colOff>
      <xdr:row>11</xdr:row>
      <xdr:rowOff>180975</xdr:rowOff>
    </xdr:from>
    <xdr:to>
      <xdr:col>12</xdr:col>
      <xdr:colOff>19050</xdr:colOff>
      <xdr:row>21</xdr:row>
      <xdr:rowOff>180975</xdr:rowOff>
    </xdr:to>
    <xdr:sp macro="" textlink="">
      <xdr:nvSpPr>
        <xdr:cNvPr id="2" name="ZoneTexte 1"/>
        <xdr:cNvSpPr txBox="1"/>
      </xdr:nvSpPr>
      <xdr:spPr>
        <a:xfrm>
          <a:off x="8648700" y="2619375"/>
          <a:ext cx="3076575" cy="1943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Information nécessaire: Volume mesuré, Nombre de nuit</a:t>
          </a:r>
          <a:r>
            <a:rPr lang="fr-CA" sz="1100" baseline="0"/>
            <a:t> pour les activités de récolte+mesurage+surveillance récolte, nombre d'heures de fardier pour A-D-E-T, montant du travail horaire dépensé pour A-D-E-T, montant de traction payé pour A-D-E-T et finalement le budget total dépensé pour la récolte.</a:t>
          </a:r>
        </a:p>
        <a:p>
          <a:r>
            <a:rPr lang="fr-CA" sz="1100" baseline="0"/>
            <a:t>A- Abattage</a:t>
          </a:r>
        </a:p>
        <a:p>
          <a:r>
            <a:rPr lang="fr-CA" sz="1100" baseline="0"/>
            <a:t>D- Débusquage</a:t>
          </a:r>
        </a:p>
        <a:p>
          <a:r>
            <a:rPr lang="fr-CA" sz="1100" baseline="0"/>
            <a:t>E- Ébranchage</a:t>
          </a:r>
        </a:p>
        <a:p>
          <a:r>
            <a:rPr lang="fr-CA" sz="1100" baseline="0"/>
            <a:t>T-Tronçonnage</a:t>
          </a:r>
          <a:endParaRPr lang="fr-CA"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0</xdr:colOff>
      <xdr:row>9</xdr:row>
      <xdr:rowOff>0</xdr:rowOff>
    </xdr:from>
    <xdr:to>
      <xdr:col>12</xdr:col>
      <xdr:colOff>0</xdr:colOff>
      <xdr:row>23</xdr:row>
      <xdr:rowOff>180975</xdr:rowOff>
    </xdr:to>
    <xdr:sp macro="" textlink="">
      <xdr:nvSpPr>
        <xdr:cNvPr id="2" name="ZoneTexte 1"/>
        <xdr:cNvSpPr txBox="1"/>
      </xdr:nvSpPr>
      <xdr:spPr>
        <a:xfrm>
          <a:off x="7724775" y="1914525"/>
          <a:ext cx="3048000" cy="2867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Information</a:t>
          </a:r>
          <a:r>
            <a:rPr lang="fr-CA" sz="1100" baseline="0"/>
            <a:t> nécessaire: Chemin d'été-hiver-réfection construit, nombre de nuit d'hébergement, nombre d'heures de fardier, nombre de d'heures de travail horaire, nombre d'heures de traction, distance de chemin gravelé, prix total du gravelage, nombre de drainages et de ponceaux posés. Prix total de la construction de chemin.</a:t>
          </a:r>
          <a:endParaRPr lang="fr-CA"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10</xdr:col>
      <xdr:colOff>9525</xdr:colOff>
      <xdr:row>11</xdr:row>
      <xdr:rowOff>9525</xdr:rowOff>
    </xdr:from>
    <xdr:to>
      <xdr:col>13</xdr:col>
      <xdr:colOff>19050</xdr:colOff>
      <xdr:row>19</xdr:row>
      <xdr:rowOff>190500</xdr:rowOff>
    </xdr:to>
    <xdr:sp macro="" textlink="">
      <xdr:nvSpPr>
        <xdr:cNvPr id="2" name="ZoneTexte 1"/>
        <xdr:cNvSpPr txBox="1"/>
      </xdr:nvSpPr>
      <xdr:spPr>
        <a:xfrm>
          <a:off x="8286750" y="2333625"/>
          <a:ext cx="2324100" cy="1743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Information nécessaire: Volume</a:t>
          </a:r>
          <a:r>
            <a:rPr lang="fr-CA" sz="1100" baseline="0"/>
            <a:t> livré, nombre de nuit d'hébergement, nombre d'heures de fardier, nombre d'heures de travail horaire, nombre d'heures de traction, montant total pour l'entretient de chemin, montant total pour toutes les activités de transport.</a:t>
          </a:r>
          <a:endParaRPr lang="fr-CA"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tations/prix_forex_bnk/BANDES%20BEAUDRY/Calculateur_bandes_beaudry_LONG_24-05-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ation forex"/>
      <sheetName val="Total"/>
      <sheetName val="Table de taux bois"/>
      <sheetName val="Table de taux machine"/>
      <sheetName val="Abattage"/>
      <sheetName val="Débardage"/>
      <sheetName val="Ébranchage"/>
      <sheetName val="Tronçonage"/>
      <sheetName val="Grille Productivité récolte"/>
      <sheetName val="Mesurage"/>
      <sheetName val="Surveillance Récolte"/>
      <sheetName val="Dépenses générales"/>
      <sheetName val="Chargement"/>
      <sheetName val="Surveillance Transport"/>
      <sheetName val="Transport"/>
      <sheetName val="Entretient de chemin"/>
      <sheetName val="Gravelage"/>
      <sheetName val="Construction de chemin"/>
      <sheetName val="Suivi Récolte_total"/>
      <sheetName val="Suivi Chemin"/>
      <sheetName val="Suivi Transport"/>
      <sheetName val="Tableaux_indicateurs_coord"/>
      <sheetName val="tableau_bord_contremaîtr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27">
          <cell r="K27">
            <v>0</v>
          </cell>
        </row>
      </sheetData>
      <sheetData sheetId="15"/>
      <sheetData sheetId="16">
        <row r="16">
          <cell r="K16" t="str">
            <v>Production cible  (Km/jour)</v>
          </cell>
        </row>
      </sheetData>
      <sheetData sheetId="17">
        <row r="13">
          <cell r="C13">
            <v>0</v>
          </cell>
        </row>
      </sheetData>
      <sheetData sheetId="18"/>
      <sheetData sheetId="19"/>
      <sheetData sheetId="20"/>
      <sheetData sheetId="21"/>
      <sheetData sheetId="2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7.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8.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14"/>
  <sheetViews>
    <sheetView view="pageBreakPreview" topLeftCell="B1" zoomScale="60" zoomScaleNormal="100" workbookViewId="0">
      <selection activeCell="G29" sqref="G29"/>
    </sheetView>
  </sheetViews>
  <sheetFormatPr baseColWidth="10" defaultRowHeight="15" x14ac:dyDescent="0.25"/>
  <cols>
    <col min="1" max="1" width="2.85546875" style="10" customWidth="1"/>
    <col min="2" max="2" width="32.140625" style="10" bestFit="1" customWidth="1"/>
    <col min="3" max="3" width="14.85546875" style="10" customWidth="1"/>
    <col min="4" max="4" width="22.85546875" style="10" bestFit="1" customWidth="1"/>
    <col min="5" max="9" width="15.7109375" style="10" customWidth="1"/>
    <col min="10" max="10" width="18" style="10" bestFit="1" customWidth="1"/>
    <col min="11" max="16384" width="11.42578125" style="10"/>
  </cols>
  <sheetData>
    <row r="1" spans="2:11" ht="15" customHeight="1" x14ac:dyDescent="0.25">
      <c r="C1" s="60"/>
      <c r="D1" s="778" t="str">
        <f>PRÉSENTATION_FOREX_global!D1</f>
        <v>Volume (m3)</v>
      </c>
      <c r="E1" s="779"/>
      <c r="F1" s="779"/>
      <c r="G1" s="779"/>
      <c r="H1" s="779"/>
      <c r="I1" s="779"/>
      <c r="J1" s="780"/>
    </row>
    <row r="2" spans="2:11" ht="15.75" thickBot="1" x14ac:dyDescent="0.3">
      <c r="B2" s="784"/>
      <c r="C2" s="784"/>
      <c r="D2" s="781"/>
      <c r="E2" s="782"/>
      <c r="F2" s="782"/>
      <c r="G2" s="782"/>
      <c r="H2" s="782"/>
      <c r="I2" s="782"/>
      <c r="J2" s="783"/>
    </row>
    <row r="3" spans="2:11" ht="15.75" thickBot="1" x14ac:dyDescent="0.3">
      <c r="B3" s="60"/>
      <c r="C3" s="661"/>
      <c r="D3" s="785"/>
      <c r="E3" s="786"/>
      <c r="F3" s="786"/>
      <c r="G3" s="786"/>
      <c r="H3" s="786"/>
      <c r="I3" s="786"/>
      <c r="J3" s="787"/>
    </row>
    <row r="4" spans="2:11" ht="15.75" thickBot="1" x14ac:dyDescent="0.3">
      <c r="B4" s="60"/>
      <c r="C4" s="661"/>
      <c r="D4" s="686" t="str">
        <f>Total!D4</f>
        <v>SEPM</v>
      </c>
      <c r="E4" s="686" t="str">
        <f>Total!E4</f>
        <v>BOP</v>
      </c>
      <c r="F4" s="686" t="str">
        <f>Total!F4</f>
        <v>PEU_DÉROULAGE</v>
      </c>
      <c r="G4" s="686" t="str">
        <f>Total!G4</f>
        <v>PET</v>
      </c>
      <c r="H4" s="686"/>
      <c r="I4" s="686"/>
      <c r="J4" s="686"/>
    </row>
    <row r="5" spans="2:11" ht="15.75" thickBot="1" x14ac:dyDescent="0.3">
      <c r="B5" s="60"/>
      <c r="C5" s="661"/>
      <c r="D5" s="552">
        <v>16604</v>
      </c>
      <c r="E5" s="552">
        <v>6098</v>
      </c>
      <c r="F5" s="552">
        <v>102</v>
      </c>
      <c r="G5" s="552">
        <v>5771</v>
      </c>
      <c r="H5" s="552"/>
      <c r="I5" s="552"/>
      <c r="J5" s="552"/>
    </row>
    <row r="6" spans="2:11" ht="15.75" thickBot="1" x14ac:dyDescent="0.3">
      <c r="B6" s="784"/>
      <c r="C6" s="784"/>
      <c r="D6" s="788">
        <f>SUM(D5:J5)</f>
        <v>28575</v>
      </c>
      <c r="E6" s="789"/>
      <c r="F6" s="789"/>
      <c r="G6" s="789"/>
      <c r="H6" s="789"/>
      <c r="I6" s="789"/>
      <c r="J6" s="790"/>
    </row>
    <row r="7" spans="2:11" ht="15" customHeight="1" x14ac:dyDescent="0.25">
      <c r="B7" s="791"/>
      <c r="C7" s="793" t="s">
        <v>347</v>
      </c>
      <c r="D7" s="793"/>
      <c r="E7" s="793"/>
      <c r="F7" s="793"/>
      <c r="G7" s="793"/>
      <c r="H7" s="793"/>
      <c r="I7" s="793"/>
      <c r="J7" s="793"/>
    </row>
    <row r="8" spans="2:11" ht="15.75" thickBot="1" x14ac:dyDescent="0.3">
      <c r="B8" s="792"/>
      <c r="C8" s="794"/>
      <c r="D8" s="794"/>
      <c r="E8" s="794"/>
      <c r="F8" s="794"/>
      <c r="G8" s="794"/>
      <c r="H8" s="794"/>
      <c r="I8" s="794"/>
      <c r="J8" s="794"/>
    </row>
    <row r="9" spans="2:11" ht="15.75" thickBot="1" x14ac:dyDescent="0.3">
      <c r="B9" s="776" t="str">
        <f>PRÉSENTATION_FOREX_global!C9</f>
        <v>Activité</v>
      </c>
      <c r="C9" s="777"/>
      <c r="D9" s="662" t="str">
        <f>D4</f>
        <v>SEPM</v>
      </c>
      <c r="E9" s="662" t="str">
        <f t="shared" ref="E9:G9" si="0">E4</f>
        <v>BOP</v>
      </c>
      <c r="F9" s="662" t="str">
        <f t="shared" si="0"/>
        <v>PEU_DÉROULAGE</v>
      </c>
      <c r="G9" s="662" t="str">
        <f t="shared" si="0"/>
        <v>PET</v>
      </c>
      <c r="H9" s="662"/>
      <c r="I9" s="662"/>
      <c r="J9" s="662"/>
    </row>
    <row r="10" spans="2:11" s="60" customFormat="1" ht="15.75" thickBot="1" x14ac:dyDescent="0.3">
      <c r="B10" s="688" t="s">
        <v>348</v>
      </c>
      <c r="C10" s="170" t="str">
        <f>PRÉSENTATION_FOREX_global!C10</f>
        <v>Total ($/m3)</v>
      </c>
      <c r="D10" s="663">
        <f>Total!D18</f>
        <v>3.31797920409119</v>
      </c>
      <c r="E10" s="663">
        <f>Total!E18</f>
        <v>3.31797920409119</v>
      </c>
      <c r="F10" s="663">
        <f>Total!F18</f>
        <v>3.31797920409119</v>
      </c>
      <c r="G10" s="663">
        <f>Total!G18</f>
        <v>3.31797920409119</v>
      </c>
      <c r="H10" s="663"/>
      <c r="I10" s="663"/>
      <c r="J10" s="663"/>
    </row>
    <row r="11" spans="2:11" x14ac:dyDescent="0.25">
      <c r="B11" s="60"/>
      <c r="C11" s="60"/>
      <c r="D11" s="687"/>
      <c r="E11" s="687"/>
      <c r="F11" s="687"/>
      <c r="G11" s="687"/>
      <c r="H11" s="687"/>
      <c r="I11" s="687"/>
      <c r="J11" s="687"/>
    </row>
    <row r="12" spans="2:11" x14ac:dyDescent="0.25">
      <c r="B12" s="59"/>
      <c r="C12" s="676"/>
      <c r="D12" s="682"/>
      <c r="E12" s="682"/>
      <c r="F12" s="682"/>
      <c r="G12" s="682"/>
      <c r="H12" s="682"/>
      <c r="I12" s="682"/>
      <c r="J12" s="682"/>
      <c r="K12" s="683"/>
    </row>
    <row r="14" spans="2:11" x14ac:dyDescent="0.25">
      <c r="D14" s="684"/>
      <c r="E14" s="684"/>
      <c r="F14" s="684"/>
      <c r="G14" s="684"/>
      <c r="H14" s="684"/>
      <c r="I14" s="684"/>
      <c r="J14" s="684"/>
      <c r="K14" s="684"/>
    </row>
  </sheetData>
  <mergeCells count="8">
    <mergeCell ref="B9:C9"/>
    <mergeCell ref="D1:J2"/>
    <mergeCell ref="B2:C2"/>
    <mergeCell ref="D3:J3"/>
    <mergeCell ref="B6:C6"/>
    <mergeCell ref="D6:J6"/>
    <mergeCell ref="B7:B8"/>
    <mergeCell ref="C7:J8"/>
  </mergeCells>
  <pageMargins left="0.70866141732283472" right="0.70866141732283472" top="0.74803149606299213" bottom="0.74803149606299213" header="0.31496062992125984" footer="0.31496062992125984"/>
  <pageSetup paperSize="5" scale="94" orientation="landscape" r:id="rId1"/>
  <headerFooter>
    <oddFooter>&amp;L&amp;A&amp;C&amp;D&amp;R&amp;T</oddFooter>
  </headerFooter>
  <colBreaks count="1" manualBreakCount="1">
    <brk id="10"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K31"/>
  <sheetViews>
    <sheetView zoomScaleNormal="100" workbookViewId="0">
      <selection activeCell="D30" sqref="D30"/>
    </sheetView>
  </sheetViews>
  <sheetFormatPr baseColWidth="10" defaultRowHeight="15" x14ac:dyDescent="0.25"/>
  <cols>
    <col min="1" max="1" width="2.85546875" style="10" customWidth="1"/>
    <col min="2" max="2" width="22.5703125" style="10" bestFit="1" customWidth="1"/>
    <col min="3" max="3" width="45" style="10" bestFit="1" customWidth="1"/>
    <col min="4" max="4" width="22.85546875" style="10" bestFit="1" customWidth="1"/>
    <col min="5" max="9" width="15.7109375" style="10" customWidth="1"/>
    <col min="10" max="10" width="18" style="10" bestFit="1" customWidth="1"/>
    <col min="11" max="16384" width="11.42578125" style="10"/>
  </cols>
  <sheetData>
    <row r="1" spans="2:10" ht="15" customHeight="1" x14ac:dyDescent="0.25">
      <c r="C1" s="60"/>
      <c r="D1" s="778" t="str">
        <f>Total!D1</f>
        <v>Volume (m3)</v>
      </c>
      <c r="E1" s="779"/>
      <c r="F1" s="779"/>
      <c r="G1" s="779"/>
      <c r="H1" s="779"/>
      <c r="I1" s="779"/>
      <c r="J1" s="780"/>
    </row>
    <row r="2" spans="2:10" ht="15.75" thickBot="1" x14ac:dyDescent="0.3">
      <c r="B2" s="784"/>
      <c r="C2" s="784"/>
      <c r="D2" s="781"/>
      <c r="E2" s="782"/>
      <c r="F2" s="782"/>
      <c r="G2" s="782"/>
      <c r="H2" s="782"/>
      <c r="I2" s="782"/>
      <c r="J2" s="783"/>
    </row>
    <row r="3" spans="2:10" ht="15.75" thickBot="1" x14ac:dyDescent="0.3">
      <c r="B3" s="60" t="s">
        <v>424</v>
      </c>
      <c r="C3" s="661"/>
      <c r="D3" s="785" t="str">
        <f>Total!D3</f>
        <v>Bois Court</v>
      </c>
      <c r="E3" s="786"/>
      <c r="F3" s="786"/>
      <c r="G3" s="786"/>
      <c r="H3" s="786"/>
      <c r="I3" s="786"/>
      <c r="J3" s="787"/>
    </row>
    <row r="4" spans="2:10" ht="15.75" thickBot="1" x14ac:dyDescent="0.3">
      <c r="B4" s="60" t="s">
        <v>425</v>
      </c>
      <c r="C4" s="661"/>
      <c r="D4" s="659" t="str">
        <f>Total!D4</f>
        <v>SEPM</v>
      </c>
      <c r="E4" s="659" t="str">
        <f>Total!E4</f>
        <v>BOP</v>
      </c>
      <c r="F4" s="659" t="str">
        <f>Total!F4</f>
        <v>PEU_DÉROULAGE</v>
      </c>
      <c r="G4" s="659" t="str">
        <f>Total!G4</f>
        <v>PET</v>
      </c>
      <c r="H4" s="659" t="str">
        <f>Total!H4</f>
        <v>-</v>
      </c>
      <c r="I4" s="659" t="str">
        <f>Total!I4</f>
        <v>-</v>
      </c>
      <c r="J4" s="659" t="str">
        <f>Total!J4</f>
        <v>-</v>
      </c>
    </row>
    <row r="5" spans="2:10" ht="15.75" thickBot="1" x14ac:dyDescent="0.3">
      <c r="B5" s="60"/>
      <c r="C5" s="661"/>
      <c r="D5" s="552">
        <f>Total!D5</f>
        <v>11000</v>
      </c>
      <c r="E5" s="552">
        <f>Total!E5</f>
        <v>2000</v>
      </c>
      <c r="F5" s="552">
        <f>Total!F5</f>
        <v>266</v>
      </c>
      <c r="G5" s="552">
        <f>Total!G5</f>
        <v>2500</v>
      </c>
      <c r="H5" s="552">
        <f>Total!H5</f>
        <v>0</v>
      </c>
      <c r="I5" s="552">
        <f>Total!I5</f>
        <v>0</v>
      </c>
      <c r="J5" s="552">
        <f>Total!J5</f>
        <v>0</v>
      </c>
    </row>
    <row r="6" spans="2:10" ht="15.75" thickBot="1" x14ac:dyDescent="0.3">
      <c r="B6" s="784"/>
      <c r="C6" s="784"/>
      <c r="D6" s="788">
        <f>D5+E5+F5+G5</f>
        <v>15766</v>
      </c>
      <c r="E6" s="789"/>
      <c r="F6" s="789"/>
      <c r="G6" s="789"/>
      <c r="H6" s="789"/>
      <c r="I6" s="789"/>
      <c r="J6" s="790"/>
    </row>
    <row r="7" spans="2:10" ht="15" customHeight="1" x14ac:dyDescent="0.25">
      <c r="B7" s="791"/>
      <c r="C7" s="793" t="str">
        <f>Total!C8</f>
        <v>LEMANCEAU_COURT</v>
      </c>
      <c r="D7" s="793"/>
      <c r="E7" s="793"/>
      <c r="F7" s="793"/>
      <c r="G7" s="793"/>
      <c r="H7" s="793"/>
      <c r="I7" s="793"/>
      <c r="J7" s="793"/>
    </row>
    <row r="8" spans="2:10" ht="15.75" thickBot="1" x14ac:dyDescent="0.3">
      <c r="B8" s="792"/>
      <c r="C8" s="794"/>
      <c r="D8" s="794"/>
      <c r="E8" s="794"/>
      <c r="F8" s="794"/>
      <c r="G8" s="794"/>
      <c r="H8" s="794"/>
      <c r="I8" s="794"/>
      <c r="J8" s="794"/>
    </row>
    <row r="9" spans="2:10" ht="15.75" thickBot="1" x14ac:dyDescent="0.3">
      <c r="C9" s="60" t="s">
        <v>1</v>
      </c>
      <c r="D9" s="662" t="str">
        <f>D4</f>
        <v>SEPM</v>
      </c>
      <c r="E9" s="662" t="str">
        <f t="shared" ref="E9:J9" si="0">E4</f>
        <v>BOP</v>
      </c>
      <c r="F9" s="662" t="str">
        <f t="shared" si="0"/>
        <v>PEU_DÉROULAGE</v>
      </c>
      <c r="G9" s="662" t="str">
        <f t="shared" si="0"/>
        <v>PET</v>
      </c>
      <c r="H9" s="662" t="str">
        <f t="shared" si="0"/>
        <v>-</v>
      </c>
      <c r="I9" s="662" t="str">
        <f t="shared" si="0"/>
        <v>-</v>
      </c>
      <c r="J9" s="662" t="str">
        <f t="shared" si="0"/>
        <v>-</v>
      </c>
    </row>
    <row r="10" spans="2:10" s="60" customFormat="1" ht="15.75" thickBot="1" x14ac:dyDescent="0.3">
      <c r="B10" s="39" t="s">
        <v>405</v>
      </c>
      <c r="C10" s="169" t="s">
        <v>140</v>
      </c>
      <c r="D10" s="663">
        <v>0</v>
      </c>
      <c r="E10" s="663">
        <v>0</v>
      </c>
      <c r="F10" s="663">
        <v>0</v>
      </c>
      <c r="G10" s="663">
        <v>0</v>
      </c>
      <c r="H10" s="663">
        <f>Total!H18</f>
        <v>0</v>
      </c>
      <c r="I10" s="663">
        <f>Total!I18</f>
        <v>0</v>
      </c>
      <c r="J10" s="663">
        <f>Total!J18</f>
        <v>0</v>
      </c>
    </row>
    <row r="11" spans="2:10" ht="15.75" thickBot="1" x14ac:dyDescent="0.3">
      <c r="B11" s="707" t="s">
        <v>407</v>
      </c>
      <c r="C11" s="707"/>
      <c r="D11" s="804" t="s">
        <v>408</v>
      </c>
      <c r="E11" s="804"/>
      <c r="F11" s="804"/>
      <c r="G11" s="804"/>
      <c r="H11" s="804"/>
      <c r="I11" s="804"/>
      <c r="J11" s="804"/>
    </row>
    <row r="12" spans="2:10" ht="15.75" thickBot="1" x14ac:dyDescent="0.3">
      <c r="B12" s="795" t="s">
        <v>113</v>
      </c>
      <c r="C12" s="785"/>
      <c r="D12" s="798"/>
      <c r="E12" s="798"/>
      <c r="F12" s="798"/>
      <c r="G12" s="798"/>
      <c r="H12" s="798"/>
      <c r="I12" s="798"/>
      <c r="J12" s="799"/>
    </row>
    <row r="13" spans="2:10" x14ac:dyDescent="0.25">
      <c r="B13" s="796"/>
      <c r="C13" s="544" t="s">
        <v>339</v>
      </c>
      <c r="D13" s="664">
        <f>Total!D36</f>
        <v>25.650716554891556</v>
      </c>
      <c r="E13" s="664">
        <f>Total!E36</f>
        <v>21.798716554891563</v>
      </c>
      <c r="F13" s="664">
        <f>Total!F36</f>
        <v>20.728716554891562</v>
      </c>
      <c r="G13" s="664">
        <f>Total!G36</f>
        <v>20.728716554891562</v>
      </c>
      <c r="H13" s="664">
        <f>Total!H36</f>
        <v>0</v>
      </c>
      <c r="I13" s="664">
        <f>Total!I36</f>
        <v>0</v>
      </c>
      <c r="J13" s="664">
        <f>Total!J36</f>
        <v>0</v>
      </c>
    </row>
    <row r="14" spans="2:10" x14ac:dyDescent="0.25">
      <c r="B14" s="796"/>
      <c r="C14" s="665" t="s">
        <v>340</v>
      </c>
      <c r="D14" s="666">
        <f>Total!D49+'Entretient de chemin'!$D$10</f>
        <v>1.3596000000000001</v>
      </c>
      <c r="E14" s="666">
        <f>Total!E49+'Entretient de chemin'!$D$10</f>
        <v>1.3596000000000001</v>
      </c>
      <c r="F14" s="666">
        <f>Total!F49+'Entretient de chemin'!$D$10</f>
        <v>1.3596000000000001</v>
      </c>
      <c r="G14" s="666">
        <f>Total!G49+'Entretient de chemin'!$D$10</f>
        <v>1.3596000000000001</v>
      </c>
      <c r="H14" s="666">
        <v>0</v>
      </c>
      <c r="I14" s="666">
        <v>0</v>
      </c>
      <c r="J14" s="666">
        <v>0</v>
      </c>
    </row>
    <row r="15" spans="2:10" x14ac:dyDescent="0.25">
      <c r="B15" s="796"/>
      <c r="C15" s="545" t="s">
        <v>341</v>
      </c>
      <c r="D15" s="667">
        <v>1</v>
      </c>
      <c r="E15" s="667">
        <v>0</v>
      </c>
      <c r="F15" s="668">
        <v>0</v>
      </c>
      <c r="G15" s="667">
        <v>0</v>
      </c>
      <c r="H15" s="668">
        <v>0</v>
      </c>
      <c r="I15" s="667">
        <v>0</v>
      </c>
      <c r="J15" s="216">
        <v>0</v>
      </c>
    </row>
    <row r="16" spans="2:10" ht="15.75" thickBot="1" x14ac:dyDescent="0.3">
      <c r="B16" s="797"/>
      <c r="C16" s="169" t="s">
        <v>140</v>
      </c>
      <c r="D16" s="669">
        <f>SUM(D13:D15)</f>
        <v>28.010316554891556</v>
      </c>
      <c r="E16" s="669">
        <f t="shared" ref="E16:J16" si="1">SUM(E13:E15)</f>
        <v>23.158316554891563</v>
      </c>
      <c r="F16" s="669">
        <f t="shared" si="1"/>
        <v>22.088316554891563</v>
      </c>
      <c r="G16" s="669">
        <f t="shared" si="1"/>
        <v>22.088316554891563</v>
      </c>
      <c r="H16" s="669">
        <f t="shared" si="1"/>
        <v>0</v>
      </c>
      <c r="I16" s="669">
        <f t="shared" si="1"/>
        <v>0</v>
      </c>
      <c r="J16" s="669">
        <f t="shared" si="1"/>
        <v>0</v>
      </c>
    </row>
    <row r="17" spans="2:11" s="674" customFormat="1" x14ac:dyDescent="0.25">
      <c r="B17" s="670"/>
      <c r="C17" s="671" t="s">
        <v>342</v>
      </c>
      <c r="D17" s="672">
        <f>D10+D16</f>
        <v>28.010316554891556</v>
      </c>
      <c r="E17" s="672">
        <f t="shared" ref="E17:J17" si="2">E10+E16</f>
        <v>23.158316554891563</v>
      </c>
      <c r="F17" s="672">
        <f t="shared" si="2"/>
        <v>22.088316554891563</v>
      </c>
      <c r="G17" s="672">
        <f t="shared" si="2"/>
        <v>22.088316554891563</v>
      </c>
      <c r="H17" s="672">
        <f t="shared" si="2"/>
        <v>0</v>
      </c>
      <c r="I17" s="672">
        <f t="shared" si="2"/>
        <v>0</v>
      </c>
      <c r="J17" s="672">
        <f t="shared" si="2"/>
        <v>0</v>
      </c>
      <c r="K17" s="673"/>
    </row>
    <row r="18" spans="2:11" s="674" customFormat="1" x14ac:dyDescent="0.25">
      <c r="B18" s="670"/>
      <c r="C18" s="671" t="s">
        <v>419</v>
      </c>
      <c r="D18" s="672">
        <v>28.82</v>
      </c>
      <c r="E18" s="672">
        <v>22.11</v>
      </c>
      <c r="F18" s="672">
        <v>27.92</v>
      </c>
      <c r="G18" s="672">
        <v>19.989999999999998</v>
      </c>
      <c r="H18" s="672"/>
      <c r="I18" s="672"/>
      <c r="J18" s="672"/>
      <c r="K18" s="673"/>
    </row>
    <row r="19" spans="2:11" s="674" customFormat="1" x14ac:dyDescent="0.25">
      <c r="B19" s="675"/>
      <c r="C19" s="676" t="s">
        <v>422</v>
      </c>
      <c r="D19" s="677">
        <f>D18-D17</f>
        <v>0.80968344510844403</v>
      </c>
      <c r="E19" s="677">
        <f t="shared" ref="E19:G19" si="3">E18-E17</f>
        <v>-1.0483165548915636</v>
      </c>
      <c r="F19" s="677">
        <f t="shared" si="3"/>
        <v>5.8316834451084389</v>
      </c>
      <c r="G19" s="677">
        <f t="shared" si="3"/>
        <v>-2.0983165548915643</v>
      </c>
      <c r="H19" s="677"/>
      <c r="I19" s="677"/>
      <c r="J19" s="677"/>
    </row>
    <row r="20" spans="2:11" s="674" customFormat="1" x14ac:dyDescent="0.25">
      <c r="B20" s="675"/>
      <c r="C20" s="676" t="s">
        <v>421</v>
      </c>
      <c r="D20" s="677">
        <v>0.67</v>
      </c>
      <c r="E20" s="677"/>
      <c r="F20" s="677"/>
      <c r="G20" s="677"/>
      <c r="H20" s="677"/>
      <c r="I20" s="677"/>
      <c r="J20" s="677"/>
    </row>
    <row r="21" spans="2:11" s="674" customFormat="1" ht="15.75" thickBot="1" x14ac:dyDescent="0.3">
      <c r="B21" s="675"/>
      <c r="C21" s="676" t="s">
        <v>423</v>
      </c>
      <c r="D21" s="677">
        <f>D19-D20</f>
        <v>0.13968344510844399</v>
      </c>
      <c r="E21" s="677"/>
      <c r="F21" s="677"/>
      <c r="G21" s="677"/>
      <c r="H21" s="677"/>
      <c r="I21" s="677"/>
      <c r="J21" s="677"/>
    </row>
    <row r="22" spans="2:11" ht="15.75" thickBot="1" x14ac:dyDescent="0.3">
      <c r="B22" s="800" t="s">
        <v>151</v>
      </c>
      <c r="C22" s="801"/>
      <c r="D22" s="802"/>
      <c r="E22" s="802"/>
      <c r="F22" s="802"/>
      <c r="G22" s="802"/>
      <c r="H22" s="802"/>
      <c r="I22" s="802"/>
      <c r="J22" s="803"/>
    </row>
    <row r="23" spans="2:11" ht="15" hidden="1" customHeight="1" x14ac:dyDescent="0.25">
      <c r="B23" s="796"/>
      <c r="C23" s="678"/>
      <c r="D23" s="227"/>
      <c r="E23" s="679"/>
      <c r="F23" s="227"/>
      <c r="G23" s="679"/>
      <c r="H23" s="227"/>
      <c r="I23" s="679"/>
      <c r="J23" s="227"/>
    </row>
    <row r="24" spans="2:11" x14ac:dyDescent="0.25">
      <c r="B24" s="796"/>
      <c r="C24" s="678" t="s">
        <v>343</v>
      </c>
      <c r="D24" s="680">
        <f>Chargement!C11</f>
        <v>2.06</v>
      </c>
      <c r="E24" s="680">
        <f>Chargement!D11</f>
        <v>2.11</v>
      </c>
      <c r="F24" s="680">
        <f>Chargement!E11</f>
        <v>2.13</v>
      </c>
      <c r="G24" s="680">
        <f>Chargement!F11</f>
        <v>2.11</v>
      </c>
      <c r="H24" s="680">
        <f>Chargement!G19</f>
        <v>0</v>
      </c>
      <c r="I24" s="680">
        <f>Chargement!H19</f>
        <v>0</v>
      </c>
      <c r="J24" s="680">
        <f>Chargement!I19</f>
        <v>0</v>
      </c>
    </row>
    <row r="25" spans="2:11" x14ac:dyDescent="0.25">
      <c r="B25" s="796"/>
      <c r="C25" s="678" t="s">
        <v>344</v>
      </c>
      <c r="D25" s="680">
        <f>Transport!D17</f>
        <v>20.341014492753622</v>
      </c>
      <c r="E25" s="680">
        <f>Transport!E17</f>
        <v>25.582682352941177</v>
      </c>
      <c r="F25" s="680">
        <f>Transport!F17</f>
        <v>21.62742857142857</v>
      </c>
      <c r="G25" s="680">
        <f>Transport!G17</f>
        <v>25.21191884057971</v>
      </c>
      <c r="H25" s="680">
        <f>Transport!H22</f>
        <v>0</v>
      </c>
      <c r="I25" s="680">
        <f>Transport!I22</f>
        <v>0</v>
      </c>
      <c r="J25" s="680">
        <f>Transport!J22</f>
        <v>0</v>
      </c>
    </row>
    <row r="26" spans="2:11" ht="15.75" thickBot="1" x14ac:dyDescent="0.3">
      <c r="B26" s="797"/>
      <c r="C26" s="26" t="s">
        <v>345</v>
      </c>
      <c r="D26" s="681">
        <f>SUM(D24:D25)</f>
        <v>22.401014492753621</v>
      </c>
      <c r="E26" s="681">
        <f t="shared" ref="E26:J26" si="4">SUM(E24:E25)</f>
        <v>27.692682352941176</v>
      </c>
      <c r="F26" s="681">
        <f t="shared" si="4"/>
        <v>23.757428571428569</v>
      </c>
      <c r="G26" s="681">
        <f t="shared" si="4"/>
        <v>27.321918840579709</v>
      </c>
      <c r="H26" s="681">
        <f t="shared" si="4"/>
        <v>0</v>
      </c>
      <c r="I26" s="681">
        <f t="shared" si="4"/>
        <v>0</v>
      </c>
      <c r="J26" s="681">
        <f t="shared" si="4"/>
        <v>0</v>
      </c>
    </row>
    <row r="27" spans="2:11" x14ac:dyDescent="0.25">
      <c r="B27" s="59"/>
      <c r="C27" s="676"/>
      <c r="D27" s="682"/>
      <c r="E27" s="682"/>
      <c r="F27" s="682"/>
      <c r="G27" s="682"/>
      <c r="H27" s="682"/>
      <c r="I27" s="682"/>
      <c r="J27" s="682"/>
      <c r="K27" s="683"/>
    </row>
    <row r="29" spans="2:11" x14ac:dyDescent="0.25">
      <c r="D29" s="684"/>
      <c r="E29" s="684"/>
      <c r="F29" s="684"/>
      <c r="G29" s="684"/>
      <c r="H29" s="684"/>
      <c r="I29" s="684"/>
      <c r="J29" s="684"/>
      <c r="K29" s="684"/>
    </row>
    <row r="30" spans="2:11" ht="15.75" thickBot="1" x14ac:dyDescent="0.3"/>
    <row r="31" spans="2:11" ht="15.75" thickBot="1" x14ac:dyDescent="0.3">
      <c r="K31" s="685"/>
    </row>
  </sheetData>
  <mergeCells count="12">
    <mergeCell ref="B12:B16"/>
    <mergeCell ref="C12:J12"/>
    <mergeCell ref="B22:B26"/>
    <mergeCell ref="C22:J22"/>
    <mergeCell ref="D1:J2"/>
    <mergeCell ref="B2:C2"/>
    <mergeCell ref="D3:J3"/>
    <mergeCell ref="B6:C6"/>
    <mergeCell ref="D6:J6"/>
    <mergeCell ref="B7:B8"/>
    <mergeCell ref="C7:J8"/>
    <mergeCell ref="D11:J11"/>
  </mergeCells>
  <pageMargins left="0.7" right="0.7" top="0.75" bottom="0.75" header="0.3" footer="0.3"/>
  <pageSetup paperSize="5" scale="8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4"/>
  <sheetViews>
    <sheetView zoomScale="70" zoomScaleNormal="70" workbookViewId="0">
      <pane ySplit="10" topLeftCell="A17" activePane="bottomLeft" state="frozen"/>
      <selection pane="bottomLeft" activeCell="C8" sqref="C8:U9"/>
    </sheetView>
  </sheetViews>
  <sheetFormatPr baseColWidth="10" defaultRowHeight="15" x14ac:dyDescent="0.25"/>
  <cols>
    <col min="1" max="1" width="2.85546875" style="10" customWidth="1"/>
    <col min="2" max="2" width="22.85546875" style="10" bestFit="1" customWidth="1"/>
    <col min="3" max="3" width="39.28515625" bestFit="1" customWidth="1"/>
    <col min="4" max="4" width="15.140625" bestFit="1" customWidth="1"/>
    <col min="5" max="5" width="15.7109375" customWidth="1"/>
    <col min="6" max="6" width="19.28515625" bestFit="1" customWidth="1"/>
    <col min="7" max="7" width="15.7109375" customWidth="1"/>
    <col min="8" max="10" width="15.7109375" style="10" customWidth="1"/>
    <col min="11" max="15" width="15.7109375" customWidth="1"/>
    <col min="16" max="18" width="15.7109375" style="10" customWidth="1"/>
    <col min="19" max="20" width="15.7109375" customWidth="1"/>
    <col min="21" max="21" width="17.140625" bestFit="1" customWidth="1"/>
  </cols>
  <sheetData>
    <row r="1" spans="2:21" s="10" customFormat="1" ht="15" customHeight="1" thickBot="1" x14ac:dyDescent="0.3">
      <c r="D1" s="778" t="s">
        <v>82</v>
      </c>
      <c r="E1" s="779"/>
      <c r="F1" s="779"/>
      <c r="G1" s="779"/>
      <c r="H1" s="779"/>
      <c r="I1" s="779"/>
      <c r="J1" s="779"/>
      <c r="K1" s="779"/>
      <c r="L1" s="779"/>
      <c r="M1" s="779"/>
      <c r="N1" s="779"/>
      <c r="O1" s="779"/>
      <c r="P1" s="779"/>
      <c r="Q1" s="779"/>
      <c r="R1" s="779"/>
      <c r="S1" s="780"/>
    </row>
    <row r="2" spans="2:21" s="10" customFormat="1" ht="15" customHeight="1" thickBot="1" x14ac:dyDescent="0.3">
      <c r="B2" s="826" t="s">
        <v>159</v>
      </c>
      <c r="C2" s="827"/>
      <c r="D2" s="782"/>
      <c r="E2" s="782"/>
      <c r="F2" s="782"/>
      <c r="G2" s="782"/>
      <c r="H2" s="782"/>
      <c r="I2" s="782"/>
      <c r="J2" s="782"/>
      <c r="K2" s="782"/>
      <c r="L2" s="782"/>
      <c r="M2" s="782"/>
      <c r="N2" s="782"/>
      <c r="O2" s="782"/>
      <c r="P2" s="782"/>
      <c r="Q2" s="782"/>
      <c r="R2" s="782"/>
      <c r="S2" s="783"/>
    </row>
    <row r="3" spans="2:21" s="10" customFormat="1" ht="15.75" customHeight="1" thickBot="1" x14ac:dyDescent="0.3">
      <c r="B3" s="3" t="s">
        <v>28</v>
      </c>
      <c r="C3" s="705">
        <v>7.0000000000000007E-2</v>
      </c>
      <c r="D3" s="786" t="s">
        <v>112</v>
      </c>
      <c r="E3" s="786"/>
      <c r="F3" s="786"/>
      <c r="G3" s="786"/>
      <c r="H3" s="786"/>
      <c r="I3" s="786"/>
      <c r="J3" s="786"/>
      <c r="K3" s="787"/>
      <c r="L3" s="785" t="s">
        <v>157</v>
      </c>
      <c r="M3" s="786"/>
      <c r="N3" s="786"/>
      <c r="O3" s="786"/>
      <c r="P3" s="786"/>
      <c r="Q3" s="786"/>
      <c r="R3" s="786"/>
      <c r="S3" s="787"/>
      <c r="T3" s="110"/>
    </row>
    <row r="4" spans="2:21" s="10" customFormat="1" ht="15.75" thickBot="1" x14ac:dyDescent="0.3">
      <c r="B4" s="3" t="s">
        <v>158</v>
      </c>
      <c r="C4" s="705">
        <v>7.0000000000000007E-2</v>
      </c>
      <c r="D4" s="255" t="s">
        <v>285</v>
      </c>
      <c r="E4" s="223" t="s">
        <v>291</v>
      </c>
      <c r="F4" s="223" t="s">
        <v>420</v>
      </c>
      <c r="G4" s="223" t="s">
        <v>338</v>
      </c>
      <c r="H4" s="334" t="s">
        <v>295</v>
      </c>
      <c r="I4" s="334" t="s">
        <v>295</v>
      </c>
      <c r="J4" s="334" t="s">
        <v>295</v>
      </c>
      <c r="K4" s="224" t="s">
        <v>295</v>
      </c>
      <c r="L4" s="255" t="s">
        <v>285</v>
      </c>
      <c r="M4" s="774" t="s">
        <v>291</v>
      </c>
      <c r="N4" s="774" t="s">
        <v>420</v>
      </c>
      <c r="O4" s="774" t="s">
        <v>338</v>
      </c>
      <c r="P4" s="608" t="s">
        <v>295</v>
      </c>
      <c r="Q4" s="608" t="s">
        <v>295</v>
      </c>
      <c r="R4" s="608" t="s">
        <v>295</v>
      </c>
      <c r="S4" s="258" t="s">
        <v>295</v>
      </c>
      <c r="T4" s="110"/>
    </row>
    <row r="5" spans="2:21" s="10" customFormat="1" ht="15.75" thickBot="1" x14ac:dyDescent="0.3">
      <c r="B5" s="7" t="s">
        <v>151</v>
      </c>
      <c r="C5" s="706">
        <v>0.03</v>
      </c>
      <c r="D5" s="349">
        <v>11000</v>
      </c>
      <c r="E5" s="350">
        <v>2000</v>
      </c>
      <c r="F5" s="350">
        <v>266</v>
      </c>
      <c r="G5" s="350">
        <v>2500</v>
      </c>
      <c r="H5" s="604">
        <v>0</v>
      </c>
      <c r="I5" s="604">
        <v>0</v>
      </c>
      <c r="J5" s="604">
        <v>0</v>
      </c>
      <c r="K5" s="351">
        <v>0</v>
      </c>
      <c r="L5" s="349">
        <v>11000</v>
      </c>
      <c r="M5" s="350">
        <v>2000</v>
      </c>
      <c r="N5" s="350">
        <v>266</v>
      </c>
      <c r="O5" s="350">
        <v>2500</v>
      </c>
      <c r="P5" s="609">
        <v>0</v>
      </c>
      <c r="Q5" s="609">
        <v>0</v>
      </c>
      <c r="R5" s="609">
        <v>0</v>
      </c>
      <c r="S5" s="352">
        <v>0</v>
      </c>
      <c r="T5" s="110"/>
    </row>
    <row r="6" spans="2:21" s="10" customFormat="1" ht="15.75" thickBot="1" x14ac:dyDescent="0.3">
      <c r="B6" s="791"/>
      <c r="C6" s="799"/>
      <c r="D6" s="828">
        <f>SUM(D5:K5)</f>
        <v>15766</v>
      </c>
      <c r="E6" s="829"/>
      <c r="F6" s="829"/>
      <c r="G6" s="829"/>
      <c r="H6" s="829"/>
      <c r="I6" s="829"/>
      <c r="J6" s="829"/>
      <c r="K6" s="830"/>
      <c r="L6" s="828">
        <f>SUM(L5:S5)</f>
        <v>15766</v>
      </c>
      <c r="M6" s="829"/>
      <c r="N6" s="829"/>
      <c r="O6" s="829"/>
      <c r="P6" s="829"/>
      <c r="Q6" s="829"/>
      <c r="R6" s="829"/>
      <c r="S6" s="830"/>
      <c r="T6" s="110"/>
    </row>
    <row r="7" spans="2:21" s="10" customFormat="1" ht="15.75" thickBot="1" x14ac:dyDescent="0.3">
      <c r="B7" s="792"/>
      <c r="C7" s="831"/>
      <c r="D7" s="823">
        <f>D6+L6</f>
        <v>31532</v>
      </c>
      <c r="E7" s="824"/>
      <c r="F7" s="824"/>
      <c r="G7" s="824"/>
      <c r="H7" s="824"/>
      <c r="I7" s="824"/>
      <c r="J7" s="824"/>
      <c r="K7" s="824"/>
      <c r="L7" s="824"/>
      <c r="M7" s="824"/>
      <c r="N7" s="824"/>
      <c r="O7" s="824"/>
      <c r="P7" s="824"/>
      <c r="Q7" s="824"/>
      <c r="R7" s="824"/>
      <c r="S7" s="825"/>
      <c r="T7" s="233"/>
    </row>
    <row r="8" spans="2:21" ht="15" customHeight="1" x14ac:dyDescent="0.25">
      <c r="B8" s="832"/>
      <c r="C8" s="834" t="s">
        <v>337</v>
      </c>
      <c r="D8" s="793"/>
      <c r="E8" s="793"/>
      <c r="F8" s="793"/>
      <c r="G8" s="793"/>
      <c r="H8" s="793"/>
      <c r="I8" s="793"/>
      <c r="J8" s="793"/>
      <c r="K8" s="793"/>
      <c r="L8" s="793"/>
      <c r="M8" s="793"/>
      <c r="N8" s="793"/>
      <c r="O8" s="793"/>
      <c r="P8" s="793"/>
      <c r="Q8" s="793"/>
      <c r="R8" s="793"/>
      <c r="S8" s="793"/>
      <c r="T8" s="793"/>
      <c r="U8" s="835"/>
    </row>
    <row r="9" spans="2:21" ht="15" customHeight="1" thickBot="1" x14ac:dyDescent="0.3">
      <c r="B9" s="833"/>
      <c r="C9" s="836"/>
      <c r="D9" s="794"/>
      <c r="E9" s="794"/>
      <c r="F9" s="794"/>
      <c r="G9" s="794"/>
      <c r="H9" s="794"/>
      <c r="I9" s="794"/>
      <c r="J9" s="794"/>
      <c r="K9" s="794"/>
      <c r="L9" s="794"/>
      <c r="M9" s="794"/>
      <c r="N9" s="794"/>
      <c r="O9" s="794"/>
      <c r="P9" s="794"/>
      <c r="Q9" s="794"/>
      <c r="R9" s="794"/>
      <c r="S9" s="794"/>
      <c r="T9" s="794"/>
      <c r="U9" s="837"/>
    </row>
    <row r="10" spans="2:21" ht="15.75" thickBot="1" x14ac:dyDescent="0.3">
      <c r="B10" s="28"/>
      <c r="C10" s="521" t="s">
        <v>1</v>
      </c>
      <c r="D10" s="399" t="str">
        <f>D4</f>
        <v>SEPM</v>
      </c>
      <c r="E10" s="502" t="str">
        <f t="shared" ref="E10:S10" si="0">E4</f>
        <v>BOP</v>
      </c>
      <c r="F10" s="502" t="str">
        <f t="shared" si="0"/>
        <v>PEU_DÉROULAGE</v>
      </c>
      <c r="G10" s="502" t="str">
        <f t="shared" si="0"/>
        <v>PET</v>
      </c>
      <c r="H10" s="605" t="str">
        <f>H4</f>
        <v>-</v>
      </c>
      <c r="I10" s="605" t="str">
        <f>I4</f>
        <v>-</v>
      </c>
      <c r="J10" s="605" t="str">
        <f>J4</f>
        <v>-</v>
      </c>
      <c r="K10" s="400" t="str">
        <f t="shared" si="0"/>
        <v>-</v>
      </c>
      <c r="L10" s="395" t="str">
        <f t="shared" si="0"/>
        <v>SEPM</v>
      </c>
      <c r="M10" s="396" t="str">
        <f t="shared" si="0"/>
        <v>BOP</v>
      </c>
      <c r="N10" s="396" t="str">
        <f t="shared" si="0"/>
        <v>PEU_DÉROULAGE</v>
      </c>
      <c r="O10" s="396" t="str">
        <f t="shared" si="0"/>
        <v>PET</v>
      </c>
      <c r="P10" s="603" t="str">
        <f t="shared" si="0"/>
        <v>-</v>
      </c>
      <c r="Q10" s="603" t="str">
        <f t="shared" si="0"/>
        <v>-</v>
      </c>
      <c r="R10" s="603" t="str">
        <f t="shared" si="0"/>
        <v>-</v>
      </c>
      <c r="S10" s="397" t="str">
        <f t="shared" si="0"/>
        <v>-</v>
      </c>
      <c r="T10" s="503" t="s">
        <v>81</v>
      </c>
      <c r="U10" s="504" t="s">
        <v>162</v>
      </c>
    </row>
    <row r="11" spans="2:21" s="10" customFormat="1" ht="15.75" thickBot="1" x14ac:dyDescent="0.3">
      <c r="B11" s="795" t="s">
        <v>265</v>
      </c>
      <c r="C11" s="785" t="s">
        <v>265</v>
      </c>
      <c r="D11" s="798"/>
      <c r="E11" s="798"/>
      <c r="F11" s="798"/>
      <c r="G11" s="798"/>
      <c r="H11" s="798"/>
      <c r="I11" s="798"/>
      <c r="J11" s="798"/>
      <c r="K11" s="798"/>
      <c r="L11" s="798"/>
      <c r="M11" s="798"/>
      <c r="N11" s="798"/>
      <c r="O11" s="798"/>
      <c r="P11" s="798"/>
      <c r="Q11" s="798"/>
      <c r="R11" s="798"/>
      <c r="S11" s="798"/>
      <c r="T11" s="798"/>
      <c r="U11" s="799"/>
    </row>
    <row r="12" spans="2:21" s="60" customFormat="1" x14ac:dyDescent="0.25">
      <c r="B12" s="805"/>
      <c r="C12" s="218" t="s">
        <v>267</v>
      </c>
      <c r="D12" s="85">
        <f>IF(D5=0,0,'Construction de chemin'!$E$11+'Construction de chemin'!$E$12+'Construction de chemin'!$E$13+'Construction de chemin'!$E$14+'Construction de chemin'!$E$15)</f>
        <v>1.0467541557305338</v>
      </c>
      <c r="E12" s="70">
        <f>IF(E5=0,0,'Construction de chemin'!$E$11+'Construction de chemin'!$E$12+'Construction de chemin'!$E$13+'Construction de chemin'!$E$14+'Construction de chemin'!$E$15)</f>
        <v>1.0467541557305338</v>
      </c>
      <c r="F12" s="70">
        <f>IF(F5=0,0,'Construction de chemin'!$E$11+'Construction de chemin'!$E$12+'Construction de chemin'!$E$13+'Construction de chemin'!$E$14+'Construction de chemin'!$E$15)</f>
        <v>1.0467541557305338</v>
      </c>
      <c r="G12" s="70">
        <f>IF(G5=0,0,'Construction de chemin'!$E$11+'Construction de chemin'!$E$12+'Construction de chemin'!$E$13+'Construction de chemin'!$E$14+'Construction de chemin'!$E$15)</f>
        <v>1.0467541557305338</v>
      </c>
      <c r="H12" s="70">
        <f>IF(H5=0,0,'Construction de chemin'!$E$11+'Construction de chemin'!$E$12+'Construction de chemin'!$E$13+'Construction de chemin'!$E$14+'Construction de chemin'!$E$15)</f>
        <v>0</v>
      </c>
      <c r="I12" s="70">
        <f>IF(I5=0,0,'Construction de chemin'!$E$11+'Construction de chemin'!$E$12+'Construction de chemin'!$E$13+'Construction de chemin'!$E$14+'Construction de chemin'!$E$15)</f>
        <v>0</v>
      </c>
      <c r="J12" s="70">
        <f>IF(J5=0,0,'Construction de chemin'!$E$11+'Construction de chemin'!$E$12+'Construction de chemin'!$E$13+'Construction de chemin'!$E$14+'Construction de chemin'!$E$15)</f>
        <v>0</v>
      </c>
      <c r="K12" s="286">
        <f>IF(K5=0,0,'Construction de chemin'!$E$11+'Construction de chemin'!$E$12+'Construction de chemin'!$E$13+'Construction de chemin'!$E$14+'Construction de chemin'!$E$15)</f>
        <v>0</v>
      </c>
      <c r="L12" s="85">
        <f>IF(L5=0,0,'Construction de chemin'!$E$11+'Construction de chemin'!$E$12+'Construction de chemin'!$E$13+'Construction de chemin'!$E$14+'Construction de chemin'!$E$15)</f>
        <v>1.0467541557305338</v>
      </c>
      <c r="M12" s="70">
        <f>IF(M5=0,0,'Construction de chemin'!$E$11+'Construction de chemin'!$E$12+'Construction de chemin'!$E$13+'Construction de chemin'!$E$14+'Construction de chemin'!$E$15)</f>
        <v>1.0467541557305338</v>
      </c>
      <c r="N12" s="70">
        <f>IF(N5=0,0,'Construction de chemin'!$E$11+'Construction de chemin'!$E$12+'Construction de chemin'!$E$13+'Construction de chemin'!$E$14+'Construction de chemin'!$E$15)</f>
        <v>1.0467541557305338</v>
      </c>
      <c r="O12" s="70">
        <f>IF(O5=0,0,'Construction de chemin'!$E$11+'Construction de chemin'!$E$12+'Construction de chemin'!$E$13+'Construction de chemin'!$E$14+'Construction de chemin'!$E$15)</f>
        <v>1.0467541557305338</v>
      </c>
      <c r="P12" s="70">
        <f>IF(P5=0,0,'Construction de chemin'!$E$11+'Construction de chemin'!$E$12+'Construction de chemin'!$E$13+'Construction de chemin'!$E$14+'Construction de chemin'!$E$15)</f>
        <v>0</v>
      </c>
      <c r="Q12" s="70">
        <f>IF(Q5=0,0,'Construction de chemin'!$E$11+'Construction de chemin'!$E$12+'Construction de chemin'!$E$13+'Construction de chemin'!$E$14+'Construction de chemin'!$E$15)</f>
        <v>0</v>
      </c>
      <c r="R12" s="70">
        <f>IF(R5=0,0,'Construction de chemin'!$E$11+'Construction de chemin'!$E$12+'Construction de chemin'!$E$13+'Construction de chemin'!$E$14+'Construction de chemin'!$E$15)</f>
        <v>0</v>
      </c>
      <c r="S12" s="286">
        <f>IF(S5=0,0,'Construction de chemin'!$E$11+'Construction de chemin'!$E$12+'Construction de chemin'!$E$13+'Construction de chemin'!$E$14+'Construction de chemin'!$E$15)</f>
        <v>0</v>
      </c>
      <c r="T12" s="620">
        <f>SUMPRODUCT(D12:S12,$D$5:$S$5)/$D$7</f>
        <v>1.0467541557305338</v>
      </c>
      <c r="U12" s="271">
        <f>SUMPRODUCT(D12:S12,D$5:$S$5)</f>
        <v>33006.252038495193</v>
      </c>
    </row>
    <row r="13" spans="2:21" s="60" customFormat="1" x14ac:dyDescent="0.25">
      <c r="B13" s="805"/>
      <c r="C13" s="211" t="s">
        <v>268</v>
      </c>
      <c r="D13" s="270">
        <f>IF(D5=0,0,'Construction de chemin'!$E$16)</f>
        <v>0.71286587926509193</v>
      </c>
      <c r="E13" s="75">
        <f>IF(E5=0,0,'Construction de chemin'!$E$16)</f>
        <v>0.71286587926509193</v>
      </c>
      <c r="F13" s="75">
        <f>IF(F5=0,0,'Construction de chemin'!$E$16)</f>
        <v>0.71286587926509193</v>
      </c>
      <c r="G13" s="75">
        <f>IF(G5=0,0,'Construction de chemin'!$E$16)</f>
        <v>0.71286587926509193</v>
      </c>
      <c r="H13" s="75">
        <f>IF(H5=0,0,'Construction de chemin'!$E$16)</f>
        <v>0</v>
      </c>
      <c r="I13" s="75">
        <f>IF(I5=0,0,'Construction de chemin'!$E$16)</f>
        <v>0</v>
      </c>
      <c r="J13" s="75">
        <f>IF(J5=0,0,'Construction de chemin'!$E$16)</f>
        <v>0</v>
      </c>
      <c r="K13" s="287">
        <f>IF(K5=0,0,'Construction de chemin'!$E$16)</f>
        <v>0</v>
      </c>
      <c r="L13" s="270">
        <f>IF(L5=0,0,'Construction de chemin'!$E$16)</f>
        <v>0.71286587926509193</v>
      </c>
      <c r="M13" s="75">
        <f>IF(M5=0,0,'Construction de chemin'!$E$16)</f>
        <v>0.71286587926509193</v>
      </c>
      <c r="N13" s="75">
        <f>IF(N5=0,0,'Construction de chemin'!$E$16)</f>
        <v>0.71286587926509193</v>
      </c>
      <c r="O13" s="75">
        <f>IF(O5=0,0,'Construction de chemin'!$E$16)</f>
        <v>0.71286587926509193</v>
      </c>
      <c r="P13" s="75">
        <f>IF(P5=0,0,'Construction de chemin'!$E$16)</f>
        <v>0</v>
      </c>
      <c r="Q13" s="75">
        <f>IF(Q5=0,0,'Construction de chemin'!$E$16)</f>
        <v>0</v>
      </c>
      <c r="R13" s="75">
        <f>IF(R5=0,0,'Construction de chemin'!$E$16)</f>
        <v>0</v>
      </c>
      <c r="S13" s="287">
        <f>IF(S5=0,0,'Construction de chemin'!$E$16)</f>
        <v>0</v>
      </c>
      <c r="T13" s="251">
        <f t="shared" ref="T13:T18" si="1">SUMPRODUCT(D13:S13,$D$5:$S$5)/$D$7</f>
        <v>0.71286587926509204</v>
      </c>
      <c r="U13" s="272">
        <f>SUMPRODUCT(D13:S13,D$5:$S$5)</f>
        <v>22478.086904986882</v>
      </c>
    </row>
    <row r="14" spans="2:21" s="60" customFormat="1" x14ac:dyDescent="0.25">
      <c r="B14" s="805"/>
      <c r="C14" s="211" t="s">
        <v>34</v>
      </c>
      <c r="D14" s="75">
        <f>IF(D5=0,0,Gravelage!$E$11)</f>
        <v>1.3307670891839778</v>
      </c>
      <c r="E14" s="75">
        <f>IF(E5=0,0,Gravelage!$E$11)</f>
        <v>1.3307670891839778</v>
      </c>
      <c r="F14" s="75">
        <f>IF(F5=0,0,Gravelage!$E$11)</f>
        <v>1.3307670891839778</v>
      </c>
      <c r="G14" s="75">
        <f>IF(G5=0,0,Gravelage!$E$11)</f>
        <v>1.3307670891839778</v>
      </c>
      <c r="H14" s="75">
        <f>IF(H5=0,0,Gravelage!$E$11)</f>
        <v>0</v>
      </c>
      <c r="I14" s="75">
        <f>IF(I5=0,0,Gravelage!$E$11)</f>
        <v>0</v>
      </c>
      <c r="J14" s="75">
        <f>IF(J5=0,0,Gravelage!$E$11)</f>
        <v>0</v>
      </c>
      <c r="K14" s="287">
        <f>IF(K5=0,0,Gravelage!$E$11)</f>
        <v>0</v>
      </c>
      <c r="L14" s="270">
        <f>IF(L5=0,0,Gravelage!$E$11)</f>
        <v>1.3307670891839778</v>
      </c>
      <c r="M14" s="75">
        <f>IF(M5=0,0,Gravelage!$E$11)</f>
        <v>1.3307670891839778</v>
      </c>
      <c r="N14" s="75">
        <f>IF(N5=0,0,Gravelage!$E$11)</f>
        <v>1.3307670891839778</v>
      </c>
      <c r="O14" s="75">
        <f>IF(O5=0,0,Gravelage!$E$11)</f>
        <v>1.3307670891839778</v>
      </c>
      <c r="P14" s="75">
        <f>IF(P5=0,0,Gravelage!$E$11)</f>
        <v>0</v>
      </c>
      <c r="Q14" s="75">
        <f>IF(Q5=0,0,Gravelage!$E$11)</f>
        <v>0</v>
      </c>
      <c r="R14" s="75">
        <f>IF(R5=0,0,Gravelage!$E$11)</f>
        <v>0</v>
      </c>
      <c r="S14" s="287">
        <f>IF(S5=0,0,Gravelage!$E$11)</f>
        <v>0</v>
      </c>
      <c r="T14" s="251">
        <f t="shared" si="1"/>
        <v>1.3307670891839776</v>
      </c>
      <c r="U14" s="272">
        <f>SUMPRODUCT(D14:S14,D$5:$S$5)</f>
        <v>41961.747856149181</v>
      </c>
    </row>
    <row r="15" spans="2:21" s="60" customFormat="1" ht="15.75" thickBot="1" x14ac:dyDescent="0.3">
      <c r="B15" s="805"/>
      <c r="C15" s="211" t="s">
        <v>269</v>
      </c>
      <c r="D15" s="510">
        <f>IF(D5=0,0,'Construction de chemin'!$E$17+'Construction de chemin'!$E$18+'Construction de chemin'!$E$19+'Construction de chemin'!$E$20+'Construction de chemin'!$E$21)</f>
        <v>1.0528019830854477E-2</v>
      </c>
      <c r="E15" s="522">
        <f>IF(E5=0,0,'Construction de chemin'!$E$17+'Construction de chemin'!$E$18+'Construction de chemin'!$E$19+'Construction de chemin'!$E$20+'Construction de chemin'!$E$21)</f>
        <v>1.0528019830854477E-2</v>
      </c>
      <c r="F15" s="522">
        <f>IF(F5=0,0,'Construction de chemin'!$E$17+'Construction de chemin'!$E$18+'Construction de chemin'!$E$19+'Construction de chemin'!$E$20+'Construction de chemin'!$E$21)</f>
        <v>1.0528019830854477E-2</v>
      </c>
      <c r="G15" s="522">
        <f>IF(G5=0,0,'Construction de chemin'!$E$17+'Construction de chemin'!$E$18+'Construction de chemin'!$E$19+'Construction de chemin'!$E$20+'Construction de chemin'!$E$21)</f>
        <v>1.0528019830854477E-2</v>
      </c>
      <c r="H15" s="522">
        <f>IF(H5=0,0,'Construction de chemin'!$E$17+'Construction de chemin'!$E$18+'Construction de chemin'!$E$19+'Construction de chemin'!$E$20+'Construction de chemin'!$E$21)</f>
        <v>0</v>
      </c>
      <c r="I15" s="522">
        <f>IF(I5=0,0,'Construction de chemin'!$E$17+'Construction de chemin'!$E$18+'Construction de chemin'!$E$19+'Construction de chemin'!$E$20+'Construction de chemin'!$E$21)</f>
        <v>0</v>
      </c>
      <c r="J15" s="522">
        <f>IF(J5=0,0,'Construction de chemin'!$E$17+'Construction de chemin'!$E$18+'Construction de chemin'!$E$19+'Construction de chemin'!$E$20+'Construction de chemin'!$E$21)</f>
        <v>0</v>
      </c>
      <c r="K15" s="523">
        <f>IF(K5=0,0,'Construction de chemin'!$E$17+'Construction de chemin'!$E$18+'Construction de chemin'!$E$19+'Construction de chemin'!$E$20+'Construction de chemin'!$E$21)</f>
        <v>0</v>
      </c>
      <c r="L15" s="510">
        <f>IF(L5=0,0,'Construction de chemin'!$E$17+'Construction de chemin'!$E$18+'Construction de chemin'!$E$19+'Construction de chemin'!$E$20+'Construction de chemin'!$E$21)</f>
        <v>1.0528019830854477E-2</v>
      </c>
      <c r="M15" s="522">
        <f>IF(M5=0,0,'Construction de chemin'!$E$17+'Construction de chemin'!$E$18+'Construction de chemin'!$E$19+'Construction de chemin'!$E$20+'Construction de chemin'!$E$21)</f>
        <v>1.0528019830854477E-2</v>
      </c>
      <c r="N15" s="522">
        <f>IF(N5=0,0,'Construction de chemin'!$E$17+'Construction de chemin'!$E$18+'Construction de chemin'!$E$19+'Construction de chemin'!$E$20+'Construction de chemin'!$E$21)</f>
        <v>1.0528019830854477E-2</v>
      </c>
      <c r="O15" s="522">
        <f>IF(O5=0,0,'Construction de chemin'!$E$17+'Construction de chemin'!$E$18+'Construction de chemin'!$E$19+'Construction de chemin'!$E$20+'Construction de chemin'!$E$21)</f>
        <v>1.0528019830854477E-2</v>
      </c>
      <c r="P15" s="522">
        <f>IF(P5=0,0,'Construction de chemin'!$E$17+'Construction de chemin'!$E$18+'Construction de chemin'!$E$19+'Construction de chemin'!$E$20+'Construction de chemin'!$E$21)</f>
        <v>0</v>
      </c>
      <c r="Q15" s="522">
        <f>IF(Q5=0,0,'Construction de chemin'!$E$17+'Construction de chemin'!$E$18+'Construction de chemin'!$E$19+'Construction de chemin'!$E$20+'Construction de chemin'!$E$21)</f>
        <v>0</v>
      </c>
      <c r="R15" s="522">
        <f>IF(R5=0,0,'Construction de chemin'!$E$17+'Construction de chemin'!$E$18+'Construction de chemin'!$E$19+'Construction de chemin'!$E$20+'Construction de chemin'!$E$21)</f>
        <v>0</v>
      </c>
      <c r="S15" s="523">
        <f>IF(S5=0,0,'Construction de chemin'!$E$17+'Construction de chemin'!$E$18+'Construction de chemin'!$E$19+'Construction de chemin'!$E$20+'Construction de chemin'!$E$21)</f>
        <v>0</v>
      </c>
      <c r="T15" s="254">
        <f t="shared" si="1"/>
        <v>1.0528019830854479E-2</v>
      </c>
      <c r="U15" s="293">
        <f>SUMPRODUCT(D15:S15,D$5:$S$5)</f>
        <v>331.9695213065034</v>
      </c>
    </row>
    <row r="16" spans="2:21" s="60" customFormat="1" ht="15.75" thickBot="1" x14ac:dyDescent="0.3">
      <c r="B16" s="805"/>
      <c r="C16" s="211" t="s">
        <v>144</v>
      </c>
      <c r="D16" s="174">
        <f>SUM(D12:D15)</f>
        <v>3.1009151440104579</v>
      </c>
      <c r="E16" s="175">
        <f t="shared" ref="E16:S16" si="2">SUM(E12:E15)</f>
        <v>3.1009151440104579</v>
      </c>
      <c r="F16" s="175">
        <f t="shared" si="2"/>
        <v>3.1009151440104579</v>
      </c>
      <c r="G16" s="175">
        <f t="shared" si="2"/>
        <v>3.1009151440104579</v>
      </c>
      <c r="H16" s="175">
        <f t="shared" si="2"/>
        <v>0</v>
      </c>
      <c r="I16" s="175">
        <f t="shared" si="2"/>
        <v>0</v>
      </c>
      <c r="J16" s="175">
        <f t="shared" si="2"/>
        <v>0</v>
      </c>
      <c r="K16" s="274">
        <f t="shared" si="2"/>
        <v>0</v>
      </c>
      <c r="L16" s="174">
        <f t="shared" si="2"/>
        <v>3.1009151440104579</v>
      </c>
      <c r="M16" s="175">
        <f t="shared" si="2"/>
        <v>3.1009151440104579</v>
      </c>
      <c r="N16" s="175">
        <f t="shared" si="2"/>
        <v>3.1009151440104579</v>
      </c>
      <c r="O16" s="175">
        <f t="shared" si="2"/>
        <v>3.1009151440104579</v>
      </c>
      <c r="P16" s="175">
        <f t="shared" si="2"/>
        <v>0</v>
      </c>
      <c r="Q16" s="175">
        <f t="shared" si="2"/>
        <v>0</v>
      </c>
      <c r="R16" s="175">
        <f t="shared" si="2"/>
        <v>0</v>
      </c>
      <c r="S16" s="274">
        <f t="shared" si="2"/>
        <v>0</v>
      </c>
      <c r="T16" s="250">
        <f t="shared" si="1"/>
        <v>3.1009151440104579</v>
      </c>
      <c r="U16" s="271">
        <f>SUMPRODUCT(D16:S16,D$5:$S$5)</f>
        <v>97778.056320937758</v>
      </c>
    </row>
    <row r="17" spans="2:22" s="60" customFormat="1" ht="15.75" thickBot="1" x14ac:dyDescent="0.3">
      <c r="B17" s="805"/>
      <c r="C17" s="211" t="s">
        <v>150</v>
      </c>
      <c r="D17" s="511">
        <f>D16*$C$3</f>
        <v>0.21706406008073206</v>
      </c>
      <c r="E17" s="512">
        <f t="shared" ref="E17:S17" si="3">E16*$C$3</f>
        <v>0.21706406008073206</v>
      </c>
      <c r="F17" s="512">
        <f t="shared" si="3"/>
        <v>0.21706406008073206</v>
      </c>
      <c r="G17" s="512">
        <f t="shared" si="3"/>
        <v>0.21706406008073206</v>
      </c>
      <c r="H17" s="512">
        <f t="shared" si="3"/>
        <v>0</v>
      </c>
      <c r="I17" s="512">
        <f t="shared" si="3"/>
        <v>0</v>
      </c>
      <c r="J17" s="512">
        <f t="shared" si="3"/>
        <v>0</v>
      </c>
      <c r="K17" s="513">
        <f t="shared" si="3"/>
        <v>0</v>
      </c>
      <c r="L17" s="511">
        <f t="shared" si="3"/>
        <v>0.21706406008073206</v>
      </c>
      <c r="M17" s="512">
        <f t="shared" si="3"/>
        <v>0.21706406008073206</v>
      </c>
      <c r="N17" s="512">
        <f t="shared" si="3"/>
        <v>0.21706406008073206</v>
      </c>
      <c r="O17" s="512">
        <f t="shared" si="3"/>
        <v>0.21706406008073206</v>
      </c>
      <c r="P17" s="512">
        <f t="shared" si="3"/>
        <v>0</v>
      </c>
      <c r="Q17" s="512">
        <f t="shared" si="3"/>
        <v>0</v>
      </c>
      <c r="R17" s="512">
        <f t="shared" si="3"/>
        <v>0</v>
      </c>
      <c r="S17" s="513">
        <f t="shared" si="3"/>
        <v>0</v>
      </c>
      <c r="T17" s="254">
        <f t="shared" si="1"/>
        <v>0.21706406008073206</v>
      </c>
      <c r="U17" s="293">
        <f>SUMPRODUCT(D17:S17,D$5:$S$5)</f>
        <v>6844.4639424656434</v>
      </c>
      <c r="V17" s="231">
        <f>C3</f>
        <v>7.0000000000000007E-2</v>
      </c>
    </row>
    <row r="18" spans="2:22" s="60" customFormat="1" ht="15.75" thickBot="1" x14ac:dyDescent="0.3">
      <c r="B18" s="806"/>
      <c r="C18" s="169" t="s">
        <v>140</v>
      </c>
      <c r="D18" s="144">
        <f>D16+D17</f>
        <v>3.31797920409119</v>
      </c>
      <c r="E18" s="142">
        <f t="shared" ref="E18:S18" si="4">E16+E17</f>
        <v>3.31797920409119</v>
      </c>
      <c r="F18" s="142">
        <f t="shared" si="4"/>
        <v>3.31797920409119</v>
      </c>
      <c r="G18" s="142">
        <f t="shared" si="4"/>
        <v>3.31797920409119</v>
      </c>
      <c r="H18" s="142">
        <f t="shared" si="4"/>
        <v>0</v>
      </c>
      <c r="I18" s="142">
        <f t="shared" si="4"/>
        <v>0</v>
      </c>
      <c r="J18" s="142">
        <f t="shared" si="4"/>
        <v>0</v>
      </c>
      <c r="K18" s="412">
        <f t="shared" si="4"/>
        <v>0</v>
      </c>
      <c r="L18" s="144">
        <f t="shared" si="4"/>
        <v>3.31797920409119</v>
      </c>
      <c r="M18" s="142">
        <f t="shared" si="4"/>
        <v>3.31797920409119</v>
      </c>
      <c r="N18" s="142">
        <f t="shared" si="4"/>
        <v>3.31797920409119</v>
      </c>
      <c r="O18" s="142">
        <f t="shared" si="4"/>
        <v>3.31797920409119</v>
      </c>
      <c r="P18" s="142">
        <f t="shared" si="4"/>
        <v>0</v>
      </c>
      <c r="Q18" s="142">
        <f t="shared" si="4"/>
        <v>0</v>
      </c>
      <c r="R18" s="142">
        <f t="shared" si="4"/>
        <v>0</v>
      </c>
      <c r="S18" s="412">
        <f t="shared" si="4"/>
        <v>0</v>
      </c>
      <c r="T18" s="618">
        <f t="shared" si="1"/>
        <v>3.3179792040911895</v>
      </c>
      <c r="U18" s="294">
        <f>SUMPRODUCT(D18:S18,D$5:$S$5)</f>
        <v>104622.52026340339</v>
      </c>
    </row>
    <row r="19" spans="2:22" s="10" customFormat="1" ht="15.75" thickBot="1" x14ac:dyDescent="0.3">
      <c r="B19" s="60"/>
      <c r="C19" s="60"/>
      <c r="D19" s="8"/>
      <c r="E19" s="8"/>
      <c r="F19" s="8"/>
      <c r="G19" s="8"/>
      <c r="H19" s="8"/>
      <c r="I19" s="8"/>
      <c r="J19" s="8"/>
      <c r="K19" s="8"/>
      <c r="L19" s="8"/>
      <c r="M19" s="8"/>
      <c r="N19" s="8"/>
      <c r="O19" s="8"/>
      <c r="P19" s="8"/>
      <c r="Q19" s="8"/>
      <c r="R19" s="8"/>
      <c r="S19" s="8"/>
      <c r="T19" s="206"/>
      <c r="U19" s="249"/>
    </row>
    <row r="20" spans="2:22" ht="15.75" thickBot="1" x14ac:dyDescent="0.3">
      <c r="B20" s="795" t="s">
        <v>113</v>
      </c>
      <c r="C20" s="785" t="s">
        <v>27</v>
      </c>
      <c r="D20" s="798"/>
      <c r="E20" s="798"/>
      <c r="F20" s="798"/>
      <c r="G20" s="798"/>
      <c r="H20" s="798"/>
      <c r="I20" s="798"/>
      <c r="J20" s="798"/>
      <c r="K20" s="798"/>
      <c r="L20" s="798"/>
      <c r="M20" s="798"/>
      <c r="N20" s="798"/>
      <c r="O20" s="798"/>
      <c r="P20" s="798"/>
      <c r="Q20" s="798"/>
      <c r="R20" s="798"/>
      <c r="S20" s="798"/>
      <c r="T20" s="798"/>
      <c r="U20" s="799"/>
    </row>
    <row r="21" spans="2:22" x14ac:dyDescent="0.25">
      <c r="B21" s="805"/>
      <c r="C21" s="236" t="s">
        <v>133</v>
      </c>
      <c r="D21" s="117">
        <f>IF(D5=0,0,Abattage!C11)</f>
        <v>11.16</v>
      </c>
      <c r="E21" s="83">
        <f>IF(E5=0,0,Abattage!D11)</f>
        <v>9</v>
      </c>
      <c r="F21" s="83">
        <f>IF(F5=0,0,Abattage!E11)</f>
        <v>8.4</v>
      </c>
      <c r="G21" s="83">
        <f>IF(G5=0,0,Abattage!F11)</f>
        <v>8.4</v>
      </c>
      <c r="H21" s="83">
        <f>IF(H5=0,0,Abattage!G11)</f>
        <v>0</v>
      </c>
      <c r="I21" s="83">
        <f>IF(I5=0,0,Abattage!H11)</f>
        <v>0</v>
      </c>
      <c r="J21" s="83">
        <f>IF(J5=0,0,Abattage!I11)</f>
        <v>0</v>
      </c>
      <c r="K21" s="243">
        <f>IF(K5=0,0,Abattage!J11)</f>
        <v>0</v>
      </c>
      <c r="L21" s="85">
        <f>IF(L5=0,0,Abattage!C24)</f>
        <v>5</v>
      </c>
      <c r="M21" s="70">
        <f>IF(M5=0,0,Abattage!D24)</f>
        <v>5</v>
      </c>
      <c r="N21" s="70">
        <f>IF(N5=0,0,Abattage!E24)</f>
        <v>5</v>
      </c>
      <c r="O21" s="70">
        <f>IF(O5=0,0,Abattage!F24)</f>
        <v>5</v>
      </c>
      <c r="P21" s="70">
        <f>IF(P5=0,0,Abattage!G24)</f>
        <v>0</v>
      </c>
      <c r="Q21" s="70">
        <f>IF(Q5=0,0,Abattage!H24)</f>
        <v>0</v>
      </c>
      <c r="R21" s="70">
        <f>IF(R5=0,0,Abattage!I24)</f>
        <v>0</v>
      </c>
      <c r="S21" s="286">
        <f>IF(S5=0,0,Abattage!J24)</f>
        <v>0</v>
      </c>
      <c r="T21" s="250">
        <f>SUMPRODUCT(D21:S21,$D$5:$S$5)/$D$7</f>
        <v>7.7008879868070528</v>
      </c>
      <c r="U21" s="271">
        <f>SUMPRODUCT(D21:S21,$D$5:$S$5)</f>
        <v>242824.4</v>
      </c>
    </row>
    <row r="22" spans="2:22" x14ac:dyDescent="0.25">
      <c r="B22" s="805"/>
      <c r="C22" s="168" t="s">
        <v>134</v>
      </c>
      <c r="D22" s="112">
        <f>IF(D5=0,0,Débardage!C11)</f>
        <v>7.44</v>
      </c>
      <c r="E22" s="67">
        <f>IF(E5=0,0,Débardage!D11)</f>
        <v>6</v>
      </c>
      <c r="F22" s="67">
        <f>IF(F5=0,0,Débardage!E11)</f>
        <v>5.6</v>
      </c>
      <c r="G22" s="67">
        <f>IF(G5=0,0,Débardage!F11)</f>
        <v>5.6</v>
      </c>
      <c r="H22" s="67">
        <f>IF(H5=0,0,Débardage!G11)</f>
        <v>0</v>
      </c>
      <c r="I22" s="67">
        <f>IF(I5=0,0,Débardage!H11)</f>
        <v>0</v>
      </c>
      <c r="J22" s="67">
        <f>IF(J5=0,0,Débardage!I11)</f>
        <v>0</v>
      </c>
      <c r="K22" s="239">
        <f>IF(K5=0,0,Débardage!J11)</f>
        <v>0</v>
      </c>
      <c r="L22" s="270">
        <f>IF(L5=0,0,Débardage!C24)</f>
        <v>5</v>
      </c>
      <c r="M22" s="75">
        <f>IF(M5=0,0,Débardage!D24)</f>
        <v>5</v>
      </c>
      <c r="N22" s="75">
        <f>IF(N5=0,0,Débardage!E24)</f>
        <v>5</v>
      </c>
      <c r="O22" s="75">
        <f>IF(O5=0,0,Débardage!F24)</f>
        <v>5</v>
      </c>
      <c r="P22" s="75">
        <f>IF(P5=0,0,Débardage!G24)</f>
        <v>0</v>
      </c>
      <c r="Q22" s="75">
        <f>IF(Q5=0,0,Débardage!H24)</f>
        <v>0</v>
      </c>
      <c r="R22" s="75">
        <f>IF(R5=0,0,Débardage!I24)</f>
        <v>0</v>
      </c>
      <c r="S22" s="287">
        <f>IF(S5=0,0,Débardage!J24)</f>
        <v>0</v>
      </c>
      <c r="T22" s="251">
        <f t="shared" ref="T22:T36" si="5">SUMPRODUCT(D22:S22,$D$5:$S$5)/$D$7</f>
        <v>5.9672586578713691</v>
      </c>
      <c r="U22" s="272">
        <f t="shared" ref="U22:U36" si="6">SUMPRODUCT(D22:S22,$D$5:$S$5)</f>
        <v>188159.6</v>
      </c>
      <c r="V22" s="10"/>
    </row>
    <row r="23" spans="2:22" x14ac:dyDescent="0.25">
      <c r="B23" s="805"/>
      <c r="C23" s="168" t="s">
        <v>141</v>
      </c>
      <c r="D23" s="114"/>
      <c r="E23" s="419"/>
      <c r="F23" s="419"/>
      <c r="G23" s="419"/>
      <c r="H23" s="550"/>
      <c r="I23" s="550"/>
      <c r="J23" s="550"/>
      <c r="K23" s="550"/>
      <c r="L23" s="270">
        <f>IF(L5=0,0,Ébranchage!C12)</f>
        <v>5.25</v>
      </c>
      <c r="M23" s="75">
        <f>IF(M5=0,0,Ébranchage!D12)</f>
        <v>5.25</v>
      </c>
      <c r="N23" s="75">
        <f>IF(N5=0,0,Ébranchage!E12)</f>
        <v>5.25</v>
      </c>
      <c r="O23" s="75">
        <f>IF(O5=0,0,Ébranchage!F12)</f>
        <v>5.25</v>
      </c>
      <c r="P23" s="75">
        <f>IF(P5=0,0,Ébranchage!G12)</f>
        <v>0</v>
      </c>
      <c r="Q23" s="75">
        <f>IF(Q5=0,0,Ébranchage!H12)</f>
        <v>0</v>
      </c>
      <c r="R23" s="75">
        <f>IF(R5=0,0,Ébranchage!I12)</f>
        <v>0</v>
      </c>
      <c r="S23" s="287">
        <f>IF(S5=0,0,Ébranchage!J12)</f>
        <v>0</v>
      </c>
      <c r="T23" s="251">
        <f t="shared" si="5"/>
        <v>2.625</v>
      </c>
      <c r="U23" s="272">
        <f t="shared" si="6"/>
        <v>82771.5</v>
      </c>
      <c r="V23" s="10"/>
    </row>
    <row r="24" spans="2:22" x14ac:dyDescent="0.25">
      <c r="B24" s="805"/>
      <c r="C24" s="168" t="s">
        <v>148</v>
      </c>
      <c r="D24" s="114"/>
      <c r="E24" s="419"/>
      <c r="F24" s="419"/>
      <c r="G24" s="419"/>
      <c r="H24" s="550"/>
      <c r="I24" s="550"/>
      <c r="J24" s="550"/>
      <c r="K24" s="550"/>
      <c r="L24" s="270">
        <f>IF(L5=0,0,Tronçonage!C13)</f>
        <v>0</v>
      </c>
      <c r="M24" s="75">
        <f>IF(M5=0,0,Tronçonage!D13)</f>
        <v>0</v>
      </c>
      <c r="N24" s="75">
        <f>IF(N5=0,0,Tronçonage!E13)</f>
        <v>0</v>
      </c>
      <c r="O24" s="75">
        <f>IF(O5=0,0,Tronçonage!F13)</f>
        <v>0</v>
      </c>
      <c r="P24" s="75">
        <f>IF(P5=0,0,Tronçonage!G13)</f>
        <v>0</v>
      </c>
      <c r="Q24" s="75">
        <f>IF(Q5=0,0,Tronçonage!H13)</f>
        <v>0</v>
      </c>
      <c r="R24" s="75">
        <f>IF(R5=0,0,Tronçonage!I13)</f>
        <v>0</v>
      </c>
      <c r="S24" s="287">
        <f>IF(S5=0,0,Tronçonage!J13)</f>
        <v>0</v>
      </c>
      <c r="T24" s="251">
        <f t="shared" si="5"/>
        <v>0</v>
      </c>
      <c r="U24" s="272">
        <f t="shared" si="6"/>
        <v>0</v>
      </c>
      <c r="V24" s="10"/>
    </row>
    <row r="25" spans="2:22" s="10" customFormat="1" x14ac:dyDescent="0.25">
      <c r="B25" s="805"/>
      <c r="C25" s="168" t="s">
        <v>149</v>
      </c>
      <c r="D25" s="112">
        <f>IF(D5=0,0,Abattage!C14+Abattage!C16+Débardage!C14+Débardage!C16)</f>
        <v>0</v>
      </c>
      <c r="E25" s="67">
        <f>IF(E5=0,0,Abattage!D14+Abattage!D16+Débardage!D14+Débardage!D16)</f>
        <v>0</v>
      </c>
      <c r="F25" s="67">
        <f>IF(F5=0,0,Abattage!E14+Abattage!E16+Débardage!E14+Débardage!E16)</f>
        <v>0</v>
      </c>
      <c r="G25" s="67">
        <f>IF(G5=0,0,Abattage!F14+Abattage!F16+Débardage!F14+Débardage!F16)</f>
        <v>0</v>
      </c>
      <c r="H25" s="67">
        <f>IF(H5=0,0,Abattage!G14+Abattage!G16+Débardage!G14+Débardage!G16)</f>
        <v>0</v>
      </c>
      <c r="I25" s="67">
        <f>IF(I5=0,0,Abattage!H14+Abattage!H16+Débardage!H14+Débardage!H16)</f>
        <v>0</v>
      </c>
      <c r="J25" s="67">
        <f>IF(J5=0,0,Abattage!I14+Abattage!I16+Débardage!I14+Débardage!I16)</f>
        <v>0</v>
      </c>
      <c r="K25" s="239">
        <f>IF(K5=0,0,Abattage!J14+Abattage!J16+Débardage!J14+Débardage!J16)</f>
        <v>0</v>
      </c>
      <c r="L25" s="270">
        <f>IF(L5=0,0,Abattage!C28+Abattage!C29+Débardage!C27+Débardage!C29+Ébranchage!C15+Ébranchage!C17+Tronçonage!C16+Tronçonage!C18)</f>
        <v>0</v>
      </c>
      <c r="M25" s="75">
        <f>IF(M5=0,0,Abattage!D28+Abattage!D29+Débardage!D27+Débardage!D29+Ébranchage!D15+Ébranchage!D17+Tronçonage!D16+Tronçonage!D18)</f>
        <v>0</v>
      </c>
      <c r="N25" s="75">
        <f>IF(N5=0,0,Abattage!E28+Abattage!E29+Débardage!E27+Débardage!E29+Ébranchage!E15+Ébranchage!E17+Tronçonage!E16+Tronçonage!E18)</f>
        <v>0</v>
      </c>
      <c r="O25" s="75">
        <f>IF(O5=0,0,Abattage!F28+Abattage!F29+Débardage!F27+Débardage!F29+Ébranchage!F15+Ébranchage!F17+Tronçonage!F16+Tronçonage!F18)</f>
        <v>0</v>
      </c>
      <c r="P25" s="75">
        <f>IF(P5=0,0,Abattage!G28+Abattage!G29+Débardage!G27+Débardage!G29+Ébranchage!G15+Ébranchage!G17+Tronçonage!G16+Tronçonage!G18)</f>
        <v>0</v>
      </c>
      <c r="Q25" s="75">
        <f>IF(Q5=0,0,Abattage!H28+Abattage!H29+Débardage!H27+Débardage!H29+Ébranchage!H15+Ébranchage!H17+Tronçonage!H16+Tronçonage!H18)</f>
        <v>0</v>
      </c>
      <c r="R25" s="75">
        <f>IF(R5=0,0,Abattage!I28+Abattage!I29+Débardage!I27+Débardage!I29+Ébranchage!I15+Ébranchage!I17+Tronçonage!I16+Tronçonage!I18)</f>
        <v>0</v>
      </c>
      <c r="S25" s="287">
        <f>IF(S5=0,0,Abattage!J28+Abattage!J29+Débardage!J27+Débardage!J29+Ébranchage!J15+Ébranchage!J17+Tronçonage!J16+Tronçonage!J18)</f>
        <v>0</v>
      </c>
      <c r="T25" s="251">
        <f t="shared" si="5"/>
        <v>0</v>
      </c>
      <c r="U25" s="272">
        <f t="shared" si="6"/>
        <v>0</v>
      </c>
    </row>
    <row r="26" spans="2:22" s="10" customFormat="1" x14ac:dyDescent="0.25">
      <c r="B26" s="805"/>
      <c r="C26" s="168" t="s">
        <v>227</v>
      </c>
      <c r="D26" s="660">
        <v>0.47</v>
      </c>
      <c r="E26" s="660">
        <v>0.47</v>
      </c>
      <c r="F26" s="660">
        <v>0.47</v>
      </c>
      <c r="G26" s="660">
        <v>0.47</v>
      </c>
      <c r="H26" s="67">
        <f>IF(H5=0,0,Abattage!G15+Débardage!G15)</f>
        <v>0</v>
      </c>
      <c r="I26" s="67">
        <f>IF(I5=0,0,Abattage!H15+Débardage!H15)</f>
        <v>0</v>
      </c>
      <c r="J26" s="67">
        <f>IF(J5=0,0,Abattage!I15+Débardage!I15)</f>
        <v>0</v>
      </c>
      <c r="K26" s="239">
        <f>IF(K5=0,0,Abattage!J15+Débardage!J15)</f>
        <v>0</v>
      </c>
      <c r="L26" s="270">
        <f>IF(L5=0,0,Abattage!C27+Débardage!C28+Ébranchage!C16+Tronçonage!C17)</f>
        <v>0.28292181069958844</v>
      </c>
      <c r="M26" s="75">
        <f>IF(M5=0,0,Abattage!D27+Débardage!D28+Ébranchage!D16+Tronçonage!D17)</f>
        <v>0.28292181069958844</v>
      </c>
      <c r="N26" s="75">
        <f>IF(N5=0,0,Abattage!E27+Débardage!E28+Ébranchage!E16+Tronçonage!E17)</f>
        <v>0.28292181069958844</v>
      </c>
      <c r="O26" s="75">
        <f>IF(O5=0,0,Abattage!F27+Débardage!F28+Ébranchage!F16+Tronçonage!F17)</f>
        <v>0.28292181069958844</v>
      </c>
      <c r="P26" s="75">
        <f>IF(P5=0,0,Abattage!G27+Débardage!G28+Ébranchage!G16+Tronçonage!G17)</f>
        <v>0</v>
      </c>
      <c r="Q26" s="75">
        <f>IF(Q5=0,0,Abattage!H27+Débardage!H28+Ébranchage!H16+Tronçonage!H17)</f>
        <v>0</v>
      </c>
      <c r="R26" s="75">
        <f>IF(R5=0,0,Abattage!I27+Débardage!I28+Ébranchage!I16+Tronçonage!I17)</f>
        <v>0</v>
      </c>
      <c r="S26" s="287">
        <f>IF(S5=0,0,Abattage!J27+Débardage!J28+Ébranchage!J16+Tronçonage!J17)</f>
        <v>0</v>
      </c>
      <c r="T26" s="251">
        <f t="shared" si="5"/>
        <v>0.37646090534979426</v>
      </c>
      <c r="U26" s="272">
        <f t="shared" si="6"/>
        <v>11870.565267489712</v>
      </c>
    </row>
    <row r="27" spans="2:22" x14ac:dyDescent="0.25">
      <c r="B27" s="805"/>
      <c r="C27" s="168" t="s">
        <v>135</v>
      </c>
      <c r="D27" s="112">
        <f>IF(D5=0,0,Abattage!C13+Débardage!C13)</f>
        <v>0.23720664721552709</v>
      </c>
      <c r="E27" s="67">
        <f>IF(E5=0,0,Abattage!D13+Débardage!D13)</f>
        <v>0.23720664721552709</v>
      </c>
      <c r="F27" s="67">
        <f>IF(F5=0,0,Abattage!E13+Débardage!E13)</f>
        <v>0.23720664721552709</v>
      </c>
      <c r="G27" s="67">
        <f>IF(G5=0,0,Abattage!F13+Débardage!F13)</f>
        <v>0.23720664721552709</v>
      </c>
      <c r="H27" s="67">
        <f>IF(H5=0,0,Abattage!G13+Débardage!G13)</f>
        <v>0</v>
      </c>
      <c r="I27" s="67">
        <f>IF(I5=0,0,Abattage!H13+Débardage!H13)</f>
        <v>0</v>
      </c>
      <c r="J27" s="67">
        <f>IF(J5=0,0,Abattage!I13+Débardage!I13)</f>
        <v>0</v>
      </c>
      <c r="K27" s="239">
        <f>IF(K5=0,0,Abattage!J13+Débardage!J13)</f>
        <v>0</v>
      </c>
      <c r="L27" s="270">
        <f>IF(L5=0,0,Abattage!C26+Débardage!C26+Ébranchage!C14+Tronçonage!C14)</f>
        <v>0</v>
      </c>
      <c r="M27" s="75">
        <f>IF(M5=0,0,Abattage!D26+Débardage!D26+Ébranchage!D14+Tronçonage!D14)</f>
        <v>0</v>
      </c>
      <c r="N27" s="75">
        <f>IF(N5=0,0,Abattage!E26+Débardage!E26+Ébranchage!E14+Tronçonage!E14)</f>
        <v>0</v>
      </c>
      <c r="O27" s="75">
        <f>IF(O5=0,0,Abattage!F26+Débardage!F26+Ébranchage!F14+Tronçonage!F14)</f>
        <v>0</v>
      </c>
      <c r="P27" s="75">
        <f>IF(P5=0,0,Abattage!G26+Débardage!G26+Ébranchage!G14+Tronçonage!G14)</f>
        <v>0</v>
      </c>
      <c r="Q27" s="75">
        <f>IF(Q5=0,0,Abattage!H26+Débardage!H26+Ébranchage!H14+Tronçonage!H14)</f>
        <v>0</v>
      </c>
      <c r="R27" s="75">
        <f>IF(R5=0,0,Abattage!I26+Débardage!I26+Ébranchage!I14+Tronçonage!I14)</f>
        <v>0</v>
      </c>
      <c r="S27" s="287">
        <f>IF(S5=0,0,Abattage!J26+Débardage!J26+Ébranchage!J14+Tronçonage!J14)</f>
        <v>0</v>
      </c>
      <c r="T27" s="251">
        <f t="shared" si="5"/>
        <v>0.11860332360776353</v>
      </c>
      <c r="U27" s="272">
        <f t="shared" si="6"/>
        <v>3739.7999999999997</v>
      </c>
      <c r="V27" s="10"/>
    </row>
    <row r="28" spans="2:22" s="10" customFormat="1" x14ac:dyDescent="0.25">
      <c r="B28" s="805"/>
      <c r="C28" s="168" t="s">
        <v>136</v>
      </c>
      <c r="D28" s="112">
        <f>IF(D5=0,0,Mesurage!$D$6+Mesurage!$D$7+Mesurage!$D$8)</f>
        <v>0.14560000000000001</v>
      </c>
      <c r="E28" s="67">
        <f>IF(E5=0,0,Mesurage!$D$6+Mesurage!$D$7+Mesurage!$D$8)</f>
        <v>0.14560000000000001</v>
      </c>
      <c r="F28" s="67">
        <f>IF(F5=0,0,Mesurage!$D$6+Mesurage!$D$7+Mesurage!$D$8)</f>
        <v>0.14560000000000001</v>
      </c>
      <c r="G28" s="67">
        <f>IF(G5=0,0,Mesurage!$D$6+Mesurage!$D$7+Mesurage!$D$8)</f>
        <v>0.14560000000000001</v>
      </c>
      <c r="H28" s="67">
        <f>IF(H5=0,0,Mesurage!$D$6+Mesurage!$D$7+Mesurage!$D$8)</f>
        <v>0</v>
      </c>
      <c r="I28" s="67">
        <f>IF(I5=0,0,Mesurage!$D$6+Mesurage!$D$7+Mesurage!$D$8)</f>
        <v>0</v>
      </c>
      <c r="J28" s="67">
        <f>IF(J5=0,0,Mesurage!$D$6+Mesurage!$D$7+Mesurage!$D$8)</f>
        <v>0</v>
      </c>
      <c r="K28" s="239">
        <f>IF(K5=0,0,Mesurage!$D$6+Mesurage!$D$7+Mesurage!$D$8)</f>
        <v>0</v>
      </c>
      <c r="L28" s="270">
        <f>IF(L5=0,0,Mesurage!$E$6+Mesurage!$E$7+Mesurage!$E$8)</f>
        <v>0.01</v>
      </c>
      <c r="M28" s="75">
        <f>IF(M5=0,0,Mesurage!$E$6+Mesurage!$E$7+Mesurage!$E$8)</f>
        <v>0.01</v>
      </c>
      <c r="N28" s="75">
        <f>IF(N5=0,0,Mesurage!$E$6+Mesurage!$E$7+Mesurage!$E$8)</f>
        <v>0.01</v>
      </c>
      <c r="O28" s="75">
        <f>IF(O5=0,0,Mesurage!$E$6+Mesurage!$E$7+Mesurage!$E$8)</f>
        <v>0.01</v>
      </c>
      <c r="P28" s="75">
        <f>IF(P5=0,0,Mesurage!$E$6+Mesurage!$E$7+Mesurage!$E$8)</f>
        <v>0</v>
      </c>
      <c r="Q28" s="75">
        <f>IF(Q5=0,0,Mesurage!$E$6+Mesurage!$E$7+Mesurage!$E$8)</f>
        <v>0</v>
      </c>
      <c r="R28" s="75">
        <f>IF(R5=0,0,Mesurage!$E$6+Mesurage!$E$7+Mesurage!$E$8)</f>
        <v>0</v>
      </c>
      <c r="S28" s="287">
        <f>IF(S5=0,0,Mesurage!$E$6+Mesurage!$E$7+Mesurage!$E$8)</f>
        <v>0</v>
      </c>
      <c r="T28" s="251">
        <f t="shared" si="5"/>
        <v>7.7800000000000008E-2</v>
      </c>
      <c r="U28" s="272">
        <f t="shared" si="6"/>
        <v>2453.1896000000002</v>
      </c>
    </row>
    <row r="29" spans="2:22" x14ac:dyDescent="0.25">
      <c r="B29" s="805"/>
      <c r="C29" s="168" t="s">
        <v>137</v>
      </c>
      <c r="D29" s="112">
        <f>IF(D5=0,0,Abattage!$C$12+Débardage!$C$12+Mesurage!$D$9+'Surveillance Récolte'!$D$12)</f>
        <v>1.3710756470756471</v>
      </c>
      <c r="E29" s="67">
        <f>IF(E5=0,0,Abattage!$C$12+Débardage!$C$12+Mesurage!$D$9+'Surveillance Récolte'!$D$12)</f>
        <v>1.3710756470756471</v>
      </c>
      <c r="F29" s="67">
        <f>IF(F5=0,0,Abattage!$C$12+Débardage!$C$12+Mesurage!$D$9+'Surveillance Récolte'!$D$12)</f>
        <v>1.3710756470756471</v>
      </c>
      <c r="G29" s="67">
        <f>IF(G5=0,0,Abattage!$C$12+Débardage!$C$12+Mesurage!$D$9+'Surveillance Récolte'!$D$12)</f>
        <v>1.3710756470756471</v>
      </c>
      <c r="H29" s="67">
        <f>IF(H5=0,0,Abattage!$C$12+Débardage!$C$12+Mesurage!$D$9+'Surveillance Récolte'!$D$12)</f>
        <v>0</v>
      </c>
      <c r="I29" s="67">
        <f>IF(I5=0,0,Abattage!$C$12+Débardage!$C$12+Mesurage!$D$9+'Surveillance Récolte'!$D$12)</f>
        <v>0</v>
      </c>
      <c r="J29" s="67">
        <f>IF(J5=0,0,Abattage!$C$12+Débardage!$C$12+Mesurage!$D$9+'Surveillance Récolte'!$D$12)</f>
        <v>0</v>
      </c>
      <c r="K29" s="239">
        <f>IF(K5=0,0,Abattage!$C$12+Débardage!$C$12+Mesurage!$D$9+'Surveillance Récolte'!$D$12)</f>
        <v>0</v>
      </c>
      <c r="L29" s="270">
        <f>IF(L5=0,0,Abattage!C25+Débardage!C25+Ébranchage!C13+Mesurage!$E$9+'Surveillance Récolte'!$E$12+Tronçonage!C14)</f>
        <v>3.0769230769230771E-2</v>
      </c>
      <c r="M29" s="75">
        <f>IF(M5=0,0,Abattage!D25+Débardage!D25+Ébranchage!D13+Mesurage!$E$9+'Surveillance Récolte'!$E$12+Tronçonage!D14)</f>
        <v>3.0769230769230771E-2</v>
      </c>
      <c r="N29" s="75">
        <f>IF(N5=0,0,Abattage!E25+Débardage!E25+Ébranchage!E13+Mesurage!$E$9+'Surveillance Récolte'!$E$12+Tronçonage!E14)</f>
        <v>3.0769230769230771E-2</v>
      </c>
      <c r="O29" s="75">
        <f>IF(O5=0,0,Abattage!F25+Débardage!F25+Ébranchage!F13+Mesurage!$E$9+'Surveillance Récolte'!$E$12+Tronçonage!F14)</f>
        <v>3.0769230769230771E-2</v>
      </c>
      <c r="P29" s="75">
        <f>IF(P5=0,0,Abattage!G25+Débardage!G25+Ébranchage!G13+Mesurage!$E$9+'Surveillance Récolte'!$E$12+Tronçonage!G14)</f>
        <v>0</v>
      </c>
      <c r="Q29" s="75">
        <f>IF(Q5=0,0,Abattage!H25+Débardage!H25+Ébranchage!H13+Mesurage!$E$9+'Surveillance Récolte'!$E$12+Tronçonage!H14)</f>
        <v>0</v>
      </c>
      <c r="R29" s="75">
        <f>IF(R5=0,0,Abattage!I25+Débardage!I25+Ébranchage!I13+Mesurage!$E$9+'Surveillance Récolte'!$E$12+Tronçonage!I14)</f>
        <v>0</v>
      </c>
      <c r="S29" s="287">
        <f>IF(S5=0,0,Abattage!J25+Débardage!J25+Ébranchage!J13+Mesurage!$E$9+'Surveillance Récolte'!$E$12+Tronçonage!J14)</f>
        <v>0</v>
      </c>
      <c r="T29" s="251">
        <f t="shared" si="5"/>
        <v>0.700922438922439</v>
      </c>
      <c r="U29" s="272">
        <f t="shared" si="6"/>
        <v>22101.486344102348</v>
      </c>
      <c r="V29" s="10"/>
    </row>
    <row r="30" spans="2:22" x14ac:dyDescent="0.25">
      <c r="B30" s="805"/>
      <c r="C30" s="168" t="s">
        <v>406</v>
      </c>
      <c r="D30" s="132">
        <v>0</v>
      </c>
      <c r="E30" s="12">
        <v>0</v>
      </c>
      <c r="F30" s="12">
        <v>0</v>
      </c>
      <c r="G30" s="12">
        <v>0</v>
      </c>
      <c r="H30" s="360">
        <v>0</v>
      </c>
      <c r="I30" s="360">
        <v>0</v>
      </c>
      <c r="J30" s="360">
        <v>0</v>
      </c>
      <c r="K30" s="360">
        <v>0</v>
      </c>
      <c r="L30" s="132">
        <v>0</v>
      </c>
      <c r="M30" s="12">
        <v>0</v>
      </c>
      <c r="N30" s="12">
        <v>0</v>
      </c>
      <c r="O30" s="12">
        <v>0</v>
      </c>
      <c r="P30" s="360">
        <v>0</v>
      </c>
      <c r="Q30" s="360">
        <v>0</v>
      </c>
      <c r="R30" s="360">
        <v>0</v>
      </c>
      <c r="S30" s="360">
        <v>0</v>
      </c>
      <c r="T30" s="251">
        <f t="shared" si="5"/>
        <v>0</v>
      </c>
      <c r="U30" s="272">
        <f t="shared" si="6"/>
        <v>0</v>
      </c>
      <c r="V30" s="10"/>
    </row>
    <row r="31" spans="2:22" x14ac:dyDescent="0.25">
      <c r="B31" s="805"/>
      <c r="C31" s="168" t="s">
        <v>138</v>
      </c>
      <c r="D31" s="727">
        <v>2.08</v>
      </c>
      <c r="E31" s="727">
        <v>2.08</v>
      </c>
      <c r="F31" s="727">
        <v>2.08</v>
      </c>
      <c r="G31" s="727">
        <v>2.08</v>
      </c>
      <c r="H31" s="67">
        <f>IF(H5=0,0,'Surveillance Récolte'!$D$9+'Surveillance Récolte'!$D$10+'Surveillance Récolte'!$D$11)</f>
        <v>0</v>
      </c>
      <c r="I31" s="67">
        <f>IF(I5=0,0,'Surveillance Récolte'!$D$9+'Surveillance Récolte'!$D$10+'Surveillance Récolte'!$D$11)</f>
        <v>0</v>
      </c>
      <c r="J31" s="67">
        <f>IF(J5=0,0,'Surveillance Récolte'!$D$9+'Surveillance Récolte'!$D$10+'Surveillance Récolte'!$D$11)</f>
        <v>0</v>
      </c>
      <c r="K31" s="239">
        <f>IF(K5=0,0,'Surveillance Récolte'!$D$9+'Surveillance Récolte'!$D$10+'Surveillance Récolte'!$D$11)</f>
        <v>0</v>
      </c>
      <c r="L31" s="270">
        <f>IF(L5=0,0,'Surveillance Récolte'!$E$9+'Surveillance Récolte'!$E$10+'Surveillance Récolte'!$E$11)</f>
        <v>0.19586894586894585</v>
      </c>
      <c r="M31" s="75">
        <f>IF(M5=0,0,'Surveillance Récolte'!$E$9+'Surveillance Récolte'!$E$10+'Surveillance Récolte'!$E$11)</f>
        <v>0.19586894586894585</v>
      </c>
      <c r="N31" s="75">
        <f>IF(N5=0,0,'Surveillance Récolte'!$E$9+'Surveillance Récolte'!$E$10+'Surveillance Récolte'!$E$11)</f>
        <v>0.19586894586894585</v>
      </c>
      <c r="O31" s="75">
        <f>IF(O5=0,0,'Surveillance Récolte'!$E$9+'Surveillance Récolte'!$E$10+'Surveillance Récolte'!$E$11)</f>
        <v>0.19586894586894585</v>
      </c>
      <c r="P31" s="75">
        <f>IF(P5=0,0,'Surveillance Récolte'!$E$9+'Surveillance Récolte'!$E$10+'Surveillance Récolte'!$E$11)</f>
        <v>0</v>
      </c>
      <c r="Q31" s="75">
        <f>IF(Q5=0,0,'Surveillance Récolte'!$E$9+'Surveillance Récolte'!$E$10+'Surveillance Récolte'!$E$11)</f>
        <v>0</v>
      </c>
      <c r="R31" s="75">
        <f>IF(R5=0,0,'Surveillance Récolte'!$E$9+'Surveillance Récolte'!$E$10+'Surveillance Récolte'!$E$11)</f>
        <v>0</v>
      </c>
      <c r="S31" s="287">
        <f>IF(S5=0,0,'Surveillance Récolte'!$E$9+'Surveillance Récolte'!$E$10+'Surveillance Récolte'!$E$11)</f>
        <v>0</v>
      </c>
      <c r="T31" s="251">
        <f t="shared" si="5"/>
        <v>1.1379344729344727</v>
      </c>
      <c r="U31" s="272">
        <f t="shared" si="6"/>
        <v>35881.349800569791</v>
      </c>
      <c r="V31" s="10"/>
    </row>
    <row r="32" spans="2:22" s="10" customFormat="1" x14ac:dyDescent="0.25">
      <c r="B32" s="805"/>
      <c r="C32" s="186" t="s">
        <v>175</v>
      </c>
      <c r="D32" s="112">
        <f>IF(D5=0,0,'Dépenses générales'!$D$19)</f>
        <v>1.0687500000000001</v>
      </c>
      <c r="E32" s="67">
        <f>IF(E5=0,0,'Dépenses générales'!$D$19)</f>
        <v>1.0687500000000001</v>
      </c>
      <c r="F32" s="67">
        <f>IF(F5=0,0,'Dépenses générales'!$D$19)</f>
        <v>1.0687500000000001</v>
      </c>
      <c r="G32" s="67">
        <f>IF(G5=0,0,'Dépenses générales'!$D$19)</f>
        <v>1.0687500000000001</v>
      </c>
      <c r="H32" s="67">
        <f>IF(H5=0,0,'Dépenses générales'!$D$19)</f>
        <v>0</v>
      </c>
      <c r="I32" s="67">
        <f>IF(I5=0,0,'Dépenses générales'!$D$19)</f>
        <v>0</v>
      </c>
      <c r="J32" s="67">
        <f>IF(J5=0,0,'Dépenses générales'!$D$19)</f>
        <v>0</v>
      </c>
      <c r="K32" s="239">
        <f>IF(K5=0,0,'Dépenses générales'!$D$19)</f>
        <v>0</v>
      </c>
      <c r="L32" s="112">
        <f>IF(L5=0,0,'Dépenses générales'!$D$19)</f>
        <v>1.0687500000000001</v>
      </c>
      <c r="M32" s="67">
        <f>IF(M5=0,0,'Dépenses générales'!$D$19)</f>
        <v>1.0687500000000001</v>
      </c>
      <c r="N32" s="67">
        <f>IF(N5=0,0,'Dépenses générales'!$D$19)</f>
        <v>1.0687500000000001</v>
      </c>
      <c r="O32" s="67">
        <f>IF(O5=0,0,'Dépenses générales'!$D$19)</f>
        <v>1.0687500000000001</v>
      </c>
      <c r="P32" s="67">
        <f>IF(P5=0,0,'Dépenses générales'!$D$19)</f>
        <v>0</v>
      </c>
      <c r="Q32" s="67">
        <f>IF(Q5=0,0,'Dépenses générales'!$D$19)</f>
        <v>0</v>
      </c>
      <c r="R32" s="67">
        <f>IF(R5=0,0,'Dépenses générales'!$D$19)</f>
        <v>0</v>
      </c>
      <c r="S32" s="239">
        <f>IF(S5=0,0,'Dépenses générales'!$D$19)</f>
        <v>0</v>
      </c>
      <c r="T32" s="251">
        <f t="shared" si="5"/>
        <v>1.0687500000000001</v>
      </c>
      <c r="U32" s="272">
        <f t="shared" si="6"/>
        <v>33699.825000000004</v>
      </c>
    </row>
    <row r="33" spans="2:22" ht="15.75" thickBot="1" x14ac:dyDescent="0.3">
      <c r="B33" s="805"/>
      <c r="C33" s="307" t="s">
        <v>176</v>
      </c>
      <c r="D33" s="182">
        <v>0</v>
      </c>
      <c r="E33" s="549">
        <v>0</v>
      </c>
      <c r="F33" s="549">
        <v>0</v>
      </c>
      <c r="G33" s="549">
        <v>0</v>
      </c>
      <c r="H33" s="551">
        <v>0</v>
      </c>
      <c r="I33" s="551">
        <v>0</v>
      </c>
      <c r="J33" s="551">
        <v>0</v>
      </c>
      <c r="K33" s="551">
        <v>0</v>
      </c>
      <c r="L33" s="248">
        <v>0</v>
      </c>
      <c r="M33" s="538">
        <v>0</v>
      </c>
      <c r="N33" s="538">
        <v>0</v>
      </c>
      <c r="O33" s="538">
        <v>0</v>
      </c>
      <c r="P33" s="553">
        <v>0</v>
      </c>
      <c r="Q33" s="553">
        <v>0</v>
      </c>
      <c r="R33" s="553">
        <v>0</v>
      </c>
      <c r="S33" s="553">
        <v>0</v>
      </c>
      <c r="T33" s="254">
        <f t="shared" si="5"/>
        <v>0</v>
      </c>
      <c r="U33" s="293">
        <f t="shared" si="6"/>
        <v>0</v>
      </c>
    </row>
    <row r="34" spans="2:22" ht="15.75" thickBot="1" x14ac:dyDescent="0.3">
      <c r="B34" s="805"/>
      <c r="C34" s="218" t="s">
        <v>139</v>
      </c>
      <c r="D34" s="117">
        <f>SUM(D21:D33)</f>
        <v>23.972632294291174</v>
      </c>
      <c r="E34" s="83">
        <f t="shared" ref="E34:S34" si="7">SUM(E21:E33)</f>
        <v>20.372632294291179</v>
      </c>
      <c r="F34" s="83">
        <f t="shared" si="7"/>
        <v>19.372632294291179</v>
      </c>
      <c r="G34" s="83">
        <f t="shared" si="7"/>
        <v>19.372632294291179</v>
      </c>
      <c r="H34" s="83">
        <f t="shared" si="7"/>
        <v>0</v>
      </c>
      <c r="I34" s="83">
        <f t="shared" si="7"/>
        <v>0</v>
      </c>
      <c r="J34" s="83">
        <f t="shared" si="7"/>
        <v>0</v>
      </c>
      <c r="K34" s="243">
        <f t="shared" si="7"/>
        <v>0</v>
      </c>
      <c r="L34" s="237">
        <f t="shared" si="7"/>
        <v>16.838309987337766</v>
      </c>
      <c r="M34" s="238">
        <f>SUM(M21:M33)</f>
        <v>16.838309987337766</v>
      </c>
      <c r="N34" s="238">
        <f t="shared" si="7"/>
        <v>16.838309987337766</v>
      </c>
      <c r="O34" s="238">
        <f t="shared" si="7"/>
        <v>16.838309987337766</v>
      </c>
      <c r="P34" s="238">
        <f t="shared" si="7"/>
        <v>0</v>
      </c>
      <c r="Q34" s="238">
        <f t="shared" si="7"/>
        <v>0</v>
      </c>
      <c r="R34" s="238">
        <f t="shared" si="7"/>
        <v>0</v>
      </c>
      <c r="S34" s="579">
        <f t="shared" si="7"/>
        <v>0</v>
      </c>
      <c r="T34" s="250">
        <f t="shared" si="5"/>
        <v>19.773617785492888</v>
      </c>
      <c r="U34" s="271">
        <f t="shared" si="6"/>
        <v>623501.71601216181</v>
      </c>
    </row>
    <row r="35" spans="2:22" ht="15.75" thickBot="1" x14ac:dyDescent="0.3">
      <c r="B35" s="805"/>
      <c r="C35" s="169" t="s">
        <v>150</v>
      </c>
      <c r="D35" s="86">
        <f>D34*$V$35</f>
        <v>1.6780842606003823</v>
      </c>
      <c r="E35" s="65">
        <f>E34*$V$35</f>
        <v>1.4260842606003827</v>
      </c>
      <c r="F35" s="65">
        <f>F34*$V$35</f>
        <v>1.3560842606003827</v>
      </c>
      <c r="G35" s="65">
        <f>G34*$V$35</f>
        <v>1.3560842606003827</v>
      </c>
      <c r="H35" s="65">
        <f t="shared" ref="H35:J35" si="8">H34*$V$35</f>
        <v>0</v>
      </c>
      <c r="I35" s="65">
        <f t="shared" si="8"/>
        <v>0</v>
      </c>
      <c r="J35" s="65">
        <f t="shared" si="8"/>
        <v>0</v>
      </c>
      <c r="K35" s="240">
        <f>K34*$V$35</f>
        <v>0</v>
      </c>
      <c r="L35" s="86">
        <f>L34*$V$35</f>
        <v>1.1786816991136437</v>
      </c>
      <c r="M35" s="65">
        <f>M34*$V$35</f>
        <v>1.1786816991136437</v>
      </c>
      <c r="N35" s="65">
        <f>N34*$V$35</f>
        <v>1.1786816991136437</v>
      </c>
      <c r="O35" s="65">
        <f>O34*$V$35</f>
        <v>1.1786816991136437</v>
      </c>
      <c r="P35" s="65">
        <f t="shared" ref="P35:R35" si="9">P34*$V$35</f>
        <v>0</v>
      </c>
      <c r="Q35" s="65">
        <f t="shared" si="9"/>
        <v>0</v>
      </c>
      <c r="R35" s="65">
        <f t="shared" si="9"/>
        <v>0</v>
      </c>
      <c r="S35" s="240">
        <f>S34*$V$35</f>
        <v>0</v>
      </c>
      <c r="T35" s="254">
        <f t="shared" si="5"/>
        <v>1.3841532449845027</v>
      </c>
      <c r="U35" s="293">
        <f t="shared" si="6"/>
        <v>43645.120120851338</v>
      </c>
      <c r="V35" s="235">
        <f>C4</f>
        <v>7.0000000000000007E-2</v>
      </c>
    </row>
    <row r="36" spans="2:22" ht="15.75" thickBot="1" x14ac:dyDescent="0.3">
      <c r="B36" s="806"/>
      <c r="C36" s="170" t="s">
        <v>140</v>
      </c>
      <c r="D36" s="118">
        <f>D34+D35</f>
        <v>25.650716554891556</v>
      </c>
      <c r="E36" s="81">
        <f>E34+E35</f>
        <v>21.798716554891563</v>
      </c>
      <c r="F36" s="81">
        <f>F34+F35</f>
        <v>20.728716554891562</v>
      </c>
      <c r="G36" s="81">
        <f>G34+G35</f>
        <v>20.728716554891562</v>
      </c>
      <c r="H36" s="81">
        <f t="shared" ref="H36:J36" si="10">H34+H35</f>
        <v>0</v>
      </c>
      <c r="I36" s="81">
        <f t="shared" si="10"/>
        <v>0</v>
      </c>
      <c r="J36" s="81">
        <f t="shared" si="10"/>
        <v>0</v>
      </c>
      <c r="K36" s="87">
        <f>K34+K35</f>
        <v>0</v>
      </c>
      <c r="L36" s="203">
        <f>SUM(L34:L35)</f>
        <v>18.016991686451409</v>
      </c>
      <c r="M36" s="203">
        <f>SUM(M34:M35)</f>
        <v>18.016991686451409</v>
      </c>
      <c r="N36" s="203">
        <f>SUM(N34:N35)</f>
        <v>18.016991686451409</v>
      </c>
      <c r="O36" s="203">
        <f>SUM(O34:O35)</f>
        <v>18.016991686451409</v>
      </c>
      <c r="P36" s="203">
        <f t="shared" ref="P36:R36" si="11">SUM(P34:P35)</f>
        <v>0</v>
      </c>
      <c r="Q36" s="203">
        <f t="shared" si="11"/>
        <v>0</v>
      </c>
      <c r="R36" s="203">
        <f t="shared" si="11"/>
        <v>0</v>
      </c>
      <c r="S36" s="241">
        <f>SUM(S34:S35)</f>
        <v>0</v>
      </c>
      <c r="T36" s="618">
        <f t="shared" si="5"/>
        <v>21.157771030477392</v>
      </c>
      <c r="U36" s="294">
        <f t="shared" si="6"/>
        <v>667146.83613301313</v>
      </c>
    </row>
    <row r="37" spans="2:22" s="358" customFormat="1" ht="15.75" thickBot="1" x14ac:dyDescent="0.3">
      <c r="B37" s="205"/>
      <c r="C37" s="110"/>
      <c r="D37" s="62"/>
      <c r="E37" s="62"/>
      <c r="F37" s="62"/>
      <c r="G37" s="62"/>
      <c r="H37" s="62"/>
      <c r="I37" s="62"/>
      <c r="J37" s="62"/>
      <c r="K37" s="62"/>
      <c r="L37" s="206"/>
      <c r="M37" s="206"/>
      <c r="N37" s="206"/>
      <c r="O37" s="206"/>
      <c r="P37" s="206"/>
      <c r="Q37" s="206"/>
      <c r="R37" s="206"/>
      <c r="S37" s="206"/>
      <c r="T37" s="206"/>
      <c r="U37" s="249"/>
    </row>
    <row r="38" spans="2:22" s="10" customFormat="1" ht="15.75" thickBot="1" x14ac:dyDescent="0.3">
      <c r="B38" s="810" t="s">
        <v>152</v>
      </c>
      <c r="C38" s="813" t="s">
        <v>270</v>
      </c>
      <c r="D38" s="814"/>
      <c r="E38" s="814"/>
      <c r="F38" s="814"/>
      <c r="G38" s="814"/>
      <c r="H38" s="814"/>
      <c r="I38" s="814"/>
      <c r="J38" s="814"/>
      <c r="K38" s="814"/>
      <c r="L38" s="814"/>
      <c r="M38" s="814"/>
      <c r="N38" s="814"/>
      <c r="O38" s="814"/>
      <c r="P38" s="814"/>
      <c r="Q38" s="814"/>
      <c r="R38" s="814"/>
      <c r="S38" s="814"/>
      <c r="T38" s="815"/>
      <c r="U38" s="816"/>
    </row>
    <row r="39" spans="2:22" s="10" customFormat="1" x14ac:dyDescent="0.25">
      <c r="B39" s="811"/>
      <c r="C39" s="218" t="s">
        <v>266</v>
      </c>
      <c r="D39" s="117">
        <f>D18</f>
        <v>3.31797920409119</v>
      </c>
      <c r="E39" s="83">
        <f t="shared" ref="E39:S39" si="12">E18</f>
        <v>3.31797920409119</v>
      </c>
      <c r="F39" s="83">
        <f t="shared" si="12"/>
        <v>3.31797920409119</v>
      </c>
      <c r="G39" s="83">
        <f t="shared" si="12"/>
        <v>3.31797920409119</v>
      </c>
      <c r="H39" s="83">
        <f t="shared" si="12"/>
        <v>0</v>
      </c>
      <c r="I39" s="83">
        <f t="shared" si="12"/>
        <v>0</v>
      </c>
      <c r="J39" s="83">
        <f t="shared" si="12"/>
        <v>0</v>
      </c>
      <c r="K39" s="243">
        <f t="shared" si="12"/>
        <v>0</v>
      </c>
      <c r="L39" s="117">
        <f t="shared" si="12"/>
        <v>3.31797920409119</v>
      </c>
      <c r="M39" s="83">
        <f t="shared" si="12"/>
        <v>3.31797920409119</v>
      </c>
      <c r="N39" s="83">
        <f t="shared" si="12"/>
        <v>3.31797920409119</v>
      </c>
      <c r="O39" s="83">
        <f t="shared" si="12"/>
        <v>3.31797920409119</v>
      </c>
      <c r="P39" s="83">
        <f t="shared" si="12"/>
        <v>0</v>
      </c>
      <c r="Q39" s="83">
        <f t="shared" si="12"/>
        <v>0</v>
      </c>
      <c r="R39" s="83">
        <f t="shared" si="12"/>
        <v>0</v>
      </c>
      <c r="S39" s="243">
        <f t="shared" si="12"/>
        <v>0</v>
      </c>
      <c r="T39" s="250">
        <f>SUMPRODUCT(D39:S39,$D$5:$S$5)/$D$7</f>
        <v>3.3179792040911895</v>
      </c>
      <c r="U39" s="271">
        <f>SUMPRODUCT(D39:S39,$D$5:$S$5)</f>
        <v>104622.52026340339</v>
      </c>
    </row>
    <row r="40" spans="2:22" s="10" customFormat="1" ht="15.75" thickBot="1" x14ac:dyDescent="0.3">
      <c r="B40" s="811"/>
      <c r="C40" s="289" t="s">
        <v>264</v>
      </c>
      <c r="D40" s="86">
        <f>D36</f>
        <v>25.650716554891556</v>
      </c>
      <c r="E40" s="65">
        <f>E36</f>
        <v>21.798716554891563</v>
      </c>
      <c r="F40" s="65">
        <f t="shared" ref="F40:S40" si="13">F36</f>
        <v>20.728716554891562</v>
      </c>
      <c r="G40" s="65">
        <f t="shared" si="13"/>
        <v>20.728716554891562</v>
      </c>
      <c r="H40" s="65">
        <f t="shared" si="13"/>
        <v>0</v>
      </c>
      <c r="I40" s="65">
        <f t="shared" si="13"/>
        <v>0</v>
      </c>
      <c r="J40" s="65">
        <f t="shared" si="13"/>
        <v>0</v>
      </c>
      <c r="K40" s="240">
        <f t="shared" si="13"/>
        <v>0</v>
      </c>
      <c r="L40" s="86">
        <f t="shared" si="13"/>
        <v>18.016991686451409</v>
      </c>
      <c r="M40" s="65">
        <f t="shared" si="13"/>
        <v>18.016991686451409</v>
      </c>
      <c r="N40" s="65">
        <f t="shared" si="13"/>
        <v>18.016991686451409</v>
      </c>
      <c r="O40" s="65">
        <f t="shared" si="13"/>
        <v>18.016991686451409</v>
      </c>
      <c r="P40" s="65">
        <f t="shared" si="13"/>
        <v>0</v>
      </c>
      <c r="Q40" s="65">
        <f t="shared" si="13"/>
        <v>0</v>
      </c>
      <c r="R40" s="65">
        <f t="shared" si="13"/>
        <v>0</v>
      </c>
      <c r="S40" s="240">
        <f t="shared" si="13"/>
        <v>0</v>
      </c>
      <c r="T40" s="254">
        <f t="shared" ref="T40:T44" si="14">SUMPRODUCT(D40:S40,$D$5:$S$5)/$D$7</f>
        <v>21.157771030477392</v>
      </c>
      <c r="U40" s="293">
        <f t="shared" ref="U40:U44" si="15">SUMPRODUCT(D40:S40,$D$5:$S$5)</f>
        <v>667146.83613301313</v>
      </c>
    </row>
    <row r="41" spans="2:22" s="10" customFormat="1" x14ac:dyDescent="0.25">
      <c r="B41" s="811"/>
      <c r="C41" s="505" t="s">
        <v>177</v>
      </c>
      <c r="D41" s="514"/>
      <c r="E41" s="515"/>
      <c r="F41" s="515"/>
      <c r="G41" s="515"/>
      <c r="H41" s="606"/>
      <c r="I41" s="606"/>
      <c r="J41" s="606"/>
      <c r="K41" s="516"/>
      <c r="L41" s="517"/>
      <c r="M41" s="518"/>
      <c r="N41" s="518"/>
      <c r="O41" s="518"/>
      <c r="P41" s="610"/>
      <c r="Q41" s="610"/>
      <c r="R41" s="610"/>
      <c r="S41" s="610"/>
      <c r="T41" s="250">
        <f t="shared" si="14"/>
        <v>0</v>
      </c>
      <c r="U41" s="271">
        <f t="shared" si="15"/>
        <v>0</v>
      </c>
    </row>
    <row r="42" spans="2:22" s="10" customFormat="1" x14ac:dyDescent="0.25">
      <c r="B42" s="811"/>
      <c r="C42" s="126" t="s">
        <v>178</v>
      </c>
      <c r="D42" s="132"/>
      <c r="E42" s="12"/>
      <c r="F42" s="12"/>
      <c r="G42" s="12"/>
      <c r="H42" s="360"/>
      <c r="I42" s="360"/>
      <c r="J42" s="360"/>
      <c r="K42" s="37"/>
      <c r="L42" s="362"/>
      <c r="M42" s="54"/>
      <c r="N42" s="54"/>
      <c r="O42" s="54"/>
      <c r="P42" s="611"/>
      <c r="Q42" s="611"/>
      <c r="R42" s="611"/>
      <c r="S42" s="611"/>
      <c r="T42" s="251">
        <f t="shared" si="14"/>
        <v>0</v>
      </c>
      <c r="U42" s="272">
        <f t="shared" si="15"/>
        <v>0</v>
      </c>
    </row>
    <row r="43" spans="2:22" s="10" customFormat="1" ht="15.75" thickBot="1" x14ac:dyDescent="0.3">
      <c r="B43" s="811"/>
      <c r="C43" s="506" t="s">
        <v>214</v>
      </c>
      <c r="D43" s="363"/>
      <c r="E43" s="364"/>
      <c r="F43" s="364"/>
      <c r="G43" s="364"/>
      <c r="H43" s="607"/>
      <c r="I43" s="607"/>
      <c r="J43" s="607"/>
      <c r="K43" s="520"/>
      <c r="L43" s="365"/>
      <c r="M43" s="366"/>
      <c r="N43" s="366"/>
      <c r="O43" s="366"/>
      <c r="P43" s="612"/>
      <c r="Q43" s="612"/>
      <c r="R43" s="612"/>
      <c r="S43" s="612"/>
      <c r="T43" s="254">
        <f t="shared" si="14"/>
        <v>0</v>
      </c>
      <c r="U43" s="293">
        <f t="shared" si="15"/>
        <v>0</v>
      </c>
    </row>
    <row r="44" spans="2:22" s="10" customFormat="1" ht="15.75" thickBot="1" x14ac:dyDescent="0.3">
      <c r="B44" s="812"/>
      <c r="C44" s="519" t="s">
        <v>184</v>
      </c>
      <c r="D44" s="120">
        <f>SUM(D39:D43)</f>
        <v>28.968695758982747</v>
      </c>
      <c r="E44" s="78">
        <f t="shared" ref="E44:S44" si="16">SUM(E39:E43)</f>
        <v>25.116695758982754</v>
      </c>
      <c r="F44" s="78">
        <f t="shared" si="16"/>
        <v>24.046695758982754</v>
      </c>
      <c r="G44" s="78">
        <f t="shared" si="16"/>
        <v>24.046695758982754</v>
      </c>
      <c r="H44" s="78">
        <f t="shared" si="16"/>
        <v>0</v>
      </c>
      <c r="I44" s="78">
        <f t="shared" si="16"/>
        <v>0</v>
      </c>
      <c r="J44" s="78">
        <f t="shared" si="16"/>
        <v>0</v>
      </c>
      <c r="K44" s="253">
        <f t="shared" si="16"/>
        <v>0</v>
      </c>
      <c r="L44" s="120">
        <f t="shared" si="16"/>
        <v>21.3349708905426</v>
      </c>
      <c r="M44" s="78">
        <f t="shared" si="16"/>
        <v>21.3349708905426</v>
      </c>
      <c r="N44" s="78">
        <f t="shared" si="16"/>
        <v>21.3349708905426</v>
      </c>
      <c r="O44" s="78">
        <f t="shared" si="16"/>
        <v>21.3349708905426</v>
      </c>
      <c r="P44" s="78">
        <f t="shared" si="16"/>
        <v>0</v>
      </c>
      <c r="Q44" s="78">
        <f t="shared" si="16"/>
        <v>0</v>
      </c>
      <c r="R44" s="78">
        <f t="shared" si="16"/>
        <v>0</v>
      </c>
      <c r="S44" s="253">
        <f t="shared" si="16"/>
        <v>0</v>
      </c>
      <c r="T44" s="618">
        <f t="shared" si="14"/>
        <v>24.475750234568586</v>
      </c>
      <c r="U44" s="294">
        <f t="shared" si="15"/>
        <v>771769.35639641667</v>
      </c>
    </row>
    <row r="45" spans="2:22" s="358" customFormat="1" x14ac:dyDescent="0.25">
      <c r="B45" s="205"/>
      <c r="C45" s="653"/>
      <c r="D45" s="654"/>
      <c r="E45" s="654"/>
      <c r="F45" s="654"/>
      <c r="G45" s="654"/>
      <c r="H45" s="654"/>
      <c r="I45" s="654"/>
      <c r="J45" s="654"/>
      <c r="K45" s="654"/>
      <c r="L45" s="655"/>
      <c r="M45" s="655"/>
      <c r="N45" s="655"/>
      <c r="O45" s="655"/>
      <c r="P45" s="655"/>
      <c r="Q45" s="655"/>
      <c r="R45" s="655"/>
      <c r="S45" s="655"/>
      <c r="T45" s="655"/>
      <c r="U45" s="249"/>
    </row>
    <row r="46" spans="2:22" s="358" customFormat="1" ht="15.75" thickBot="1" x14ac:dyDescent="0.3">
      <c r="B46" s="656"/>
      <c r="C46" s="653"/>
      <c r="D46" s="657"/>
      <c r="E46" s="657"/>
      <c r="F46" s="657"/>
      <c r="G46" s="657"/>
      <c r="H46" s="657"/>
      <c r="I46" s="657"/>
      <c r="J46" s="657"/>
      <c r="K46" s="657"/>
      <c r="L46" s="657"/>
      <c r="M46" s="657"/>
      <c r="N46" s="657"/>
      <c r="O46" s="657"/>
      <c r="P46" s="657"/>
      <c r="Q46" s="657"/>
      <c r="R46" s="657"/>
      <c r="S46" s="655"/>
      <c r="T46" s="655"/>
      <c r="U46" s="249"/>
    </row>
    <row r="47" spans="2:22" ht="15.75" thickBot="1" x14ac:dyDescent="0.3">
      <c r="B47" s="795" t="s">
        <v>151</v>
      </c>
      <c r="C47" s="791" t="s">
        <v>116</v>
      </c>
      <c r="D47" s="798"/>
      <c r="E47" s="798"/>
      <c r="F47" s="798"/>
      <c r="G47" s="798"/>
      <c r="H47" s="798"/>
      <c r="I47" s="798"/>
      <c r="J47" s="798"/>
      <c r="K47" s="798"/>
      <c r="L47" s="798"/>
      <c r="M47" s="798"/>
      <c r="N47" s="798"/>
      <c r="O47" s="798"/>
      <c r="P47" s="798"/>
      <c r="Q47" s="798"/>
      <c r="R47" s="798"/>
      <c r="S47" s="798"/>
      <c r="T47" s="798"/>
      <c r="U47" s="799"/>
    </row>
    <row r="48" spans="2:22" ht="15" customHeight="1" x14ac:dyDescent="0.25">
      <c r="B48" s="796"/>
      <c r="C48" s="544" t="s">
        <v>142</v>
      </c>
      <c r="D48" s="117">
        <f>IF(D5=0,0,Chargement!C19)</f>
        <v>2.1315542021994234</v>
      </c>
      <c r="E48" s="83">
        <f>IF(E5=0,0,Chargement!D19)</f>
        <v>2.1815542021994232</v>
      </c>
      <c r="F48" s="83">
        <f>IF(F5=0,0,Chargement!E19)</f>
        <v>2.2015542021994232</v>
      </c>
      <c r="G48" s="83">
        <f>IF(G5=0,0,Chargement!F19)</f>
        <v>2.1815542021994232</v>
      </c>
      <c r="H48" s="83">
        <f>IF(H5=0,0,Chargement!G19)</f>
        <v>0</v>
      </c>
      <c r="I48" s="83">
        <f>IF(I5=0,0,Chargement!H19)</f>
        <v>0</v>
      </c>
      <c r="J48" s="83">
        <f>IF(J5=0,0,Chargement!I19)</f>
        <v>0</v>
      </c>
      <c r="K48" s="243">
        <f>IF(K5=0,0,Chargement!J19)</f>
        <v>0</v>
      </c>
      <c r="L48" s="117">
        <f>IF(L5=0,0,Chargement!K19)</f>
        <v>2.1315542021994234</v>
      </c>
      <c r="M48" s="83">
        <f>IF(M5=0,0,Chargement!L19)</f>
        <v>2.1815542021994232</v>
      </c>
      <c r="N48" s="83">
        <f>IF(N5=0,0,Chargement!M19)</f>
        <v>2.2015542021994232</v>
      </c>
      <c r="O48" s="83">
        <f>IF(O5=0,0,Chargement!N19)</f>
        <v>2.1815542021994232</v>
      </c>
      <c r="P48" s="83">
        <f>IF(P5=0,0,Chargement!O19)</f>
        <v>0</v>
      </c>
      <c r="Q48" s="83">
        <f>IF(Q5=0,0,Chargement!P19)</f>
        <v>0</v>
      </c>
      <c r="R48" s="83">
        <f>IF(R5=0,0,Chargement!Q19)</f>
        <v>0</v>
      </c>
      <c r="S48" s="84">
        <f>IF(S5=0,0,Chargement!R19)</f>
        <v>0</v>
      </c>
      <c r="T48" s="162">
        <f>SUMPRODUCT(D48:S48,$D$5:$S$5)/$D$7</f>
        <v>2.1470064411947298</v>
      </c>
      <c r="U48" s="271">
        <f>SUMPRODUCT(D48:S48,$D$5:$S$5)</f>
        <v>67699.407103752223</v>
      </c>
    </row>
    <row r="49" spans="2:22" s="10" customFormat="1" ht="15" customHeight="1" x14ac:dyDescent="0.25">
      <c r="B49" s="796"/>
      <c r="C49" s="545" t="s">
        <v>198</v>
      </c>
      <c r="D49" s="112">
        <f>IF(D5=0,0,'Entretient de chemin'!$D$9)</f>
        <v>1.32</v>
      </c>
      <c r="E49" s="67">
        <f>IF(E5=0,0,'Entretient de chemin'!$D$9)</f>
        <v>1.32</v>
      </c>
      <c r="F49" s="67">
        <f>IF(F5=0,0,'Entretient de chemin'!$D$9)</f>
        <v>1.32</v>
      </c>
      <c r="G49" s="67">
        <f>IF(G5=0,0,'Entretient de chemin'!$D$9)</f>
        <v>1.32</v>
      </c>
      <c r="H49" s="67">
        <f>IF(H5=0,0,'Entretient de chemin'!$D$9)</f>
        <v>0</v>
      </c>
      <c r="I49" s="67">
        <f>IF(I5=0,0,'Entretient de chemin'!$D$9)</f>
        <v>0</v>
      </c>
      <c r="J49" s="67">
        <f>IF(J5=0,0,'Entretient de chemin'!$D$9)</f>
        <v>0</v>
      </c>
      <c r="K49" s="239">
        <f>IF(K5=0,0,'Entretient de chemin'!$D$9)</f>
        <v>0</v>
      </c>
      <c r="L49" s="112">
        <f>IF(L5=0,0,'Entretient de chemin'!$D$9)</f>
        <v>1.32</v>
      </c>
      <c r="M49" s="67">
        <f>IF(M5=0,0,'Entretient de chemin'!$D$9)</f>
        <v>1.32</v>
      </c>
      <c r="N49" s="67">
        <f>IF(N5=0,0,'Entretient de chemin'!$D$9)</f>
        <v>1.32</v>
      </c>
      <c r="O49" s="67">
        <f>IF(O5=0,0,'Entretient de chemin'!$D$9)</f>
        <v>1.32</v>
      </c>
      <c r="P49" s="67">
        <f>IF(P5=0,0,'Entretient de chemin'!$D$9)</f>
        <v>0</v>
      </c>
      <c r="Q49" s="67">
        <f>IF(Q5=0,0,'Entretient de chemin'!$D$9)</f>
        <v>0</v>
      </c>
      <c r="R49" s="67">
        <f>IF(R5=0,0,'Entretient de chemin'!$D$9)</f>
        <v>0</v>
      </c>
      <c r="S49" s="68">
        <f>IF(S5=0,0,'Entretient de chemin'!$D$9)</f>
        <v>0</v>
      </c>
      <c r="T49" s="150">
        <f t="shared" ref="T49:T58" si="17">SUMPRODUCT(D49:S49,$D$5:$S$5)/$D$7</f>
        <v>1.3199999999999998</v>
      </c>
      <c r="U49" s="272">
        <f t="shared" ref="U49:U51" si="18">SUMPRODUCT(D49:S49,$D$5:$S$5)</f>
        <v>41622.239999999998</v>
      </c>
    </row>
    <row r="50" spans="2:22" s="10" customFormat="1" ht="15" customHeight="1" x14ac:dyDescent="0.25">
      <c r="B50" s="796"/>
      <c r="C50" s="545" t="s">
        <v>228</v>
      </c>
      <c r="D50" s="112">
        <f>IF(D5=0,0,((Chargement!C17+Transport!D16)*(D54/1000))+'Entretient de chemin'!$D$7)</f>
        <v>2.9445154690323869E-2</v>
      </c>
      <c r="E50" s="67">
        <f>IF(E5=0,0,((Chargement!D17+Transport!E16)*(E54/1000))+'Entretient de chemin'!$D$7)</f>
        <v>3.1591780756306573E-2</v>
      </c>
      <c r="F50" s="67">
        <f>IF(F5=0,0,((Chargement!E17+Transport!F16)*(F54/1000))+'Entretient de chemin'!$D$7)</f>
        <v>2.9981811206819545E-2</v>
      </c>
      <c r="G50" s="67">
        <f>IF(G5=0,0,((Chargement!F17+Transport!G16)*(G54/1000))+'Entretient de chemin'!$D$7)</f>
        <v>2.9981811206819545E-2</v>
      </c>
      <c r="H50" s="67">
        <f>IF(H5=0,0,((Chargement!G17+Transport!H16)*(H54/1000))+'Entretient de chemin'!$D$7)</f>
        <v>0</v>
      </c>
      <c r="I50" s="67">
        <f>IF(I5=0,0,((Chargement!H17+Transport!I16)*(I54/1000))+'Entretient de chemin'!$D$7)</f>
        <v>0</v>
      </c>
      <c r="J50" s="67">
        <f>IF(J5=0,0,((Chargement!I17+Transport!J16)*(J54/1000))+'Entretient de chemin'!$D$7)</f>
        <v>0</v>
      </c>
      <c r="K50" s="239">
        <f>IF(K5=0,0,((Chargement!J17+Transport!K16)*(K54/1000))+'Entretient de chemin'!$D$7)</f>
        <v>0</v>
      </c>
      <c r="L50" s="112" t="e">
        <f>IF(L5=0,0,((Chargement!K17+Transport!D31)*(L54/1000))+'Entretient de chemin'!$D$7)</f>
        <v>#DIV/0!</v>
      </c>
      <c r="M50" s="67" t="e">
        <f>IF(M5=0,0,((Chargement!L17+Transport!E31)*(M54/1000))+'Entretient de chemin'!$D$7)</f>
        <v>#DIV/0!</v>
      </c>
      <c r="N50" s="67" t="e">
        <f>IF(N5=0,0,((Chargement!M17+Transport!F31)*(N54/1000))+'Entretient de chemin'!$D$7)</f>
        <v>#DIV/0!</v>
      </c>
      <c r="O50" s="67" t="e">
        <f>IF(O5=0,0,((Chargement!N17+Transport!G31)*(O54/1000))+'Entretient de chemin'!$D$7)</f>
        <v>#DIV/0!</v>
      </c>
      <c r="P50" s="67">
        <f>IF(P5=0,0,((Chargement!O17+Transport!H31)*(P54/1000))+'Entretient de chemin'!$D$7)</f>
        <v>0</v>
      </c>
      <c r="Q50" s="67">
        <f>IF(Q5=0,0,((Chargement!P17+Transport!I31)*(Q54/1000))+'Entretient de chemin'!$D$7)</f>
        <v>0</v>
      </c>
      <c r="R50" s="67">
        <f>IF(R5=0,0,((Chargement!Q17+Transport!J31)*(R54/1000))+'Entretient de chemin'!$D$7)</f>
        <v>0</v>
      </c>
      <c r="S50" s="68">
        <f>IF(S5=0,0,((Chargement!R17+Transport!K31)*(S54/1000))+'Entretient de chemin'!$D$7)</f>
        <v>0</v>
      </c>
      <c r="T50" s="150" t="e">
        <f t="shared" si="17"/>
        <v>#DIV/0!</v>
      </c>
      <c r="U50" s="272" t="e">
        <f t="shared" si="18"/>
        <v>#DIV/0!</v>
      </c>
    </row>
    <row r="51" spans="2:22" ht="15.75" customHeight="1" thickBot="1" x14ac:dyDescent="0.3">
      <c r="B51" s="796"/>
      <c r="C51" s="546" t="s">
        <v>138</v>
      </c>
      <c r="D51" s="86">
        <f>IF(D5=0,0,'Surveillance Transport'!$C$13)</f>
        <v>0.11631344845630558</v>
      </c>
      <c r="E51" s="65">
        <f>IF(E5=0,0,'Surveillance Transport'!$C$13)</f>
        <v>0.11631344845630558</v>
      </c>
      <c r="F51" s="65">
        <f>IF(F5=0,0,'Surveillance Transport'!$C$13)</f>
        <v>0.11631344845630558</v>
      </c>
      <c r="G51" s="65">
        <f>IF(G5=0,0,'Surveillance Transport'!$C$13)</f>
        <v>0.11631344845630558</v>
      </c>
      <c r="H51" s="65">
        <f>IF(H5=0,0,'Surveillance Transport'!$C$13)</f>
        <v>0</v>
      </c>
      <c r="I51" s="65">
        <f>IF(I5=0,0,'Surveillance Transport'!$C$13)</f>
        <v>0</v>
      </c>
      <c r="J51" s="65">
        <f>IF(J5=0,0,'Surveillance Transport'!$C$13)</f>
        <v>0</v>
      </c>
      <c r="K51" s="240">
        <f>IF(K5=0,0,'Surveillance Transport'!$C$13)</f>
        <v>0</v>
      </c>
      <c r="L51" s="86">
        <f>IF(L5=0,0,'Surveillance Transport'!$C$13)</f>
        <v>0.11631344845630558</v>
      </c>
      <c r="M51" s="65">
        <f>IF(M5=0,0,'Surveillance Transport'!$C$13)</f>
        <v>0.11631344845630558</v>
      </c>
      <c r="N51" s="65">
        <f>IF(N5=0,0,'Surveillance Transport'!$C$13)</f>
        <v>0.11631344845630558</v>
      </c>
      <c r="O51" s="65">
        <f>IF(O5=0,0,'Surveillance Transport'!$C$13)</f>
        <v>0.11631344845630558</v>
      </c>
      <c r="P51" s="65">
        <f>IF(P5=0,0,'Surveillance Transport'!$C$13)</f>
        <v>0</v>
      </c>
      <c r="Q51" s="65">
        <f>IF(Q5=0,0,'Surveillance Transport'!$C$13)</f>
        <v>0</v>
      </c>
      <c r="R51" s="65">
        <f>IF(R5=0,0,'Surveillance Transport'!$C$13)</f>
        <v>0</v>
      </c>
      <c r="S51" s="72">
        <f>IF(S5=0,0,'Surveillance Transport'!$C$13)</f>
        <v>0</v>
      </c>
      <c r="T51" s="292">
        <f t="shared" si="17"/>
        <v>0.11631344845630558</v>
      </c>
      <c r="U51" s="273">
        <f t="shared" si="18"/>
        <v>3667.5956567242274</v>
      </c>
    </row>
    <row r="52" spans="2:22" x14ac:dyDescent="0.25">
      <c r="B52" s="805"/>
      <c r="C52" s="186" t="s">
        <v>117</v>
      </c>
      <c r="D52" s="237">
        <f>IF(D5=0,0,Transport!D13)</f>
        <v>78.849999999999994</v>
      </c>
      <c r="E52" s="238">
        <f>IF(E5=0,0,Transport!E13)</f>
        <v>78.08</v>
      </c>
      <c r="F52" s="238">
        <f>IF(F5=0,0,Transport!F13)</f>
        <v>78.849999999999994</v>
      </c>
      <c r="G52" s="238">
        <f>IF(G5=0,0,Transport!G13)</f>
        <v>78.08</v>
      </c>
      <c r="H52" s="238">
        <f>IF(H5=0,0,Transport!H13)</f>
        <v>0</v>
      </c>
      <c r="I52" s="238">
        <f>IF(I5=0,0,Transport!I13)</f>
        <v>0</v>
      </c>
      <c r="J52" s="238">
        <f>IF(J5=0,0,Transport!J13)</f>
        <v>0</v>
      </c>
      <c r="K52" s="579">
        <f>IF(K5=0,0,Transport!K13)</f>
        <v>0</v>
      </c>
      <c r="L52" s="237">
        <f>IF(L5=0,0,Transport!D28)</f>
        <v>0</v>
      </c>
      <c r="M52" s="238">
        <f>IF(M5=0,0,Transport!E28)</f>
        <v>0</v>
      </c>
      <c r="N52" s="238">
        <f>IF(N5=0,0,Transport!F28)</f>
        <v>0</v>
      </c>
      <c r="O52" s="238">
        <f>IF(O5=0,0,Transport!G28)</f>
        <v>0</v>
      </c>
      <c r="P52" s="238">
        <f>IF(P5=0,0,Transport!H28)</f>
        <v>0</v>
      </c>
      <c r="Q52" s="238">
        <f>IF(Q5=0,0,Transport!I28)</f>
        <v>0</v>
      </c>
      <c r="R52" s="238">
        <f>IF(R5=0,0,Transport!J28)</f>
        <v>0</v>
      </c>
      <c r="S52" s="579">
        <f>IF(S5=0,0,Transport!K28)</f>
        <v>0</v>
      </c>
      <c r="T52" s="250">
        <f t="shared" si="17"/>
        <v>39.315111632627165</v>
      </c>
      <c r="U52" s="616"/>
    </row>
    <row r="53" spans="2:22" x14ac:dyDescent="0.25">
      <c r="B53" s="805"/>
      <c r="C53" s="168" t="s">
        <v>118</v>
      </c>
      <c r="D53" s="112">
        <f>IF(D5=0,0,Transport!D17)</f>
        <v>20.341014492753622</v>
      </c>
      <c r="E53" s="67">
        <f>IF(E5=0,0,Transport!E17)</f>
        <v>25.582682352941177</v>
      </c>
      <c r="F53" s="67">
        <f>IF(F5=0,0,Transport!F17)</f>
        <v>21.62742857142857</v>
      </c>
      <c r="G53" s="67">
        <f>IF(G5=0,0,Transport!G17)</f>
        <v>25.21191884057971</v>
      </c>
      <c r="H53" s="67">
        <f>IF(H5=0,0,Transport!H17)</f>
        <v>0</v>
      </c>
      <c r="I53" s="67">
        <f>IF(I5=0,0,Transport!I17)</f>
        <v>0</v>
      </c>
      <c r="J53" s="67">
        <f>IF(J5=0,0,Transport!J17)</f>
        <v>0</v>
      </c>
      <c r="K53" s="239">
        <f>IF(K5=0,0,Transport!K17)</f>
        <v>0</v>
      </c>
      <c r="L53" s="112" t="e">
        <f>IF(L5=0,0,Transport!D32)</f>
        <v>#DIV/0!</v>
      </c>
      <c r="M53" s="67" t="e">
        <f>IF(M5=0,0,Transport!E32)</f>
        <v>#DIV/0!</v>
      </c>
      <c r="N53" s="67" t="e">
        <f>IF(N5=0,0,Transport!F32)</f>
        <v>#DIV/0!</v>
      </c>
      <c r="O53" s="67" t="e">
        <f>IF(O5=0,0,Transport!G32)</f>
        <v>#DIV/0!</v>
      </c>
      <c r="P53" s="67">
        <f>IF(P5=0,0,Transport!H32)</f>
        <v>0</v>
      </c>
      <c r="Q53" s="67">
        <f>IF(Q5=0,0,Transport!I32)</f>
        <v>0</v>
      </c>
      <c r="R53" s="67">
        <f>IF(R5=0,0,Transport!J32)</f>
        <v>0</v>
      </c>
      <c r="S53" s="239">
        <f>IF(S5=0,0,Transport!K32)</f>
        <v>0</v>
      </c>
      <c r="T53" s="251" t="e">
        <f t="shared" si="17"/>
        <v>#DIV/0!</v>
      </c>
      <c r="U53" s="617"/>
    </row>
    <row r="54" spans="2:22" x14ac:dyDescent="0.25">
      <c r="B54" s="805"/>
      <c r="C54" s="168" t="s">
        <v>179</v>
      </c>
      <c r="D54" s="112">
        <f>Transport!D19</f>
        <v>880</v>
      </c>
      <c r="E54" s="67">
        <f>Transport!E19</f>
        <v>1080</v>
      </c>
      <c r="F54" s="67">
        <f>Transport!F19</f>
        <v>930</v>
      </c>
      <c r="G54" s="67">
        <f>Transport!G19</f>
        <v>930</v>
      </c>
      <c r="H54" s="67">
        <f>Transport!H19</f>
        <v>0</v>
      </c>
      <c r="I54" s="67">
        <f>Transport!I19</f>
        <v>0</v>
      </c>
      <c r="J54" s="67">
        <f>Transport!J19</f>
        <v>0</v>
      </c>
      <c r="K54" s="239">
        <f>Transport!K19</f>
        <v>0</v>
      </c>
      <c r="L54" s="112">
        <f>Transport!D34</f>
        <v>0</v>
      </c>
      <c r="M54" s="67">
        <f>Transport!E34</f>
        <v>0</v>
      </c>
      <c r="N54" s="67">
        <f>Transport!F34</f>
        <v>0</v>
      </c>
      <c r="O54" s="67">
        <f>Transport!G34</f>
        <v>0</v>
      </c>
      <c r="P54" s="67">
        <f>Transport!H34</f>
        <v>0</v>
      </c>
      <c r="Q54" s="67">
        <f>Transport!I34</f>
        <v>0</v>
      </c>
      <c r="R54" s="67">
        <f>Transport!J34</f>
        <v>0</v>
      </c>
      <c r="S54" s="239">
        <f>Transport!K34</f>
        <v>0</v>
      </c>
      <c r="T54" s="251">
        <f t="shared" si="17"/>
        <v>457.07154636559687</v>
      </c>
      <c r="U54" s="617"/>
    </row>
    <row r="55" spans="2:22" ht="15.75" thickBot="1" x14ac:dyDescent="0.3">
      <c r="B55" s="805"/>
      <c r="C55" s="260" t="s">
        <v>143</v>
      </c>
      <c r="D55" s="221">
        <f>Transport!D18</f>
        <v>0</v>
      </c>
      <c r="E55" s="547">
        <f>Transport!E18</f>
        <v>0</v>
      </c>
      <c r="F55" s="547">
        <f>Transport!F18</f>
        <v>0</v>
      </c>
      <c r="G55" s="547">
        <f>Transport!G18</f>
        <v>0</v>
      </c>
      <c r="H55" s="547">
        <f>Transport!H18</f>
        <v>0</v>
      </c>
      <c r="I55" s="547">
        <f>Transport!I18</f>
        <v>0</v>
      </c>
      <c r="J55" s="547">
        <f>Transport!J18</f>
        <v>0</v>
      </c>
      <c r="K55" s="548">
        <f>Transport!K18</f>
        <v>0</v>
      </c>
      <c r="L55" s="221">
        <f>Transport!D33</f>
        <v>0</v>
      </c>
      <c r="M55" s="547">
        <f>Transport!E33</f>
        <v>0</v>
      </c>
      <c r="N55" s="547">
        <f>Transport!F33</f>
        <v>0</v>
      </c>
      <c r="O55" s="547">
        <f>Transport!G33</f>
        <v>0</v>
      </c>
      <c r="P55" s="547">
        <f>Transport!H33</f>
        <v>0</v>
      </c>
      <c r="Q55" s="547">
        <f>Transport!I33</f>
        <v>0</v>
      </c>
      <c r="R55" s="547">
        <f>Transport!J33</f>
        <v>0</v>
      </c>
      <c r="S55" s="548">
        <f>Transport!K33</f>
        <v>0</v>
      </c>
      <c r="T55" s="254">
        <f t="shared" si="17"/>
        <v>0</v>
      </c>
      <c r="U55" s="619"/>
    </row>
    <row r="56" spans="2:22" ht="15.75" thickBot="1" x14ac:dyDescent="0.3">
      <c r="B56" s="805"/>
      <c r="C56" s="218" t="s">
        <v>144</v>
      </c>
      <c r="D56" s="117">
        <f>IF(D5=0,0,D48+D51+D49+D50+(D53*(D54/1000)))</f>
        <v>21.497405558969241</v>
      </c>
      <c r="E56" s="83">
        <f t="shared" ref="E56:S56" si="19">IF(E5=0,0,E48+E51+E49+E50+(E53*(E54/1000)))</f>
        <v>31.278756372588511</v>
      </c>
      <c r="F56" s="83">
        <f t="shared" si="19"/>
        <v>23.78135803329112</v>
      </c>
      <c r="G56" s="83">
        <f t="shared" si="19"/>
        <v>27.094933983601681</v>
      </c>
      <c r="H56" s="83">
        <f t="shared" si="19"/>
        <v>0</v>
      </c>
      <c r="I56" s="83">
        <f t="shared" si="19"/>
        <v>0</v>
      </c>
      <c r="J56" s="83">
        <f t="shared" si="19"/>
        <v>0</v>
      </c>
      <c r="K56" s="84">
        <f t="shared" si="19"/>
        <v>0</v>
      </c>
      <c r="L56" s="117" t="e">
        <f t="shared" si="19"/>
        <v>#DIV/0!</v>
      </c>
      <c r="M56" s="83" t="e">
        <f t="shared" si="19"/>
        <v>#DIV/0!</v>
      </c>
      <c r="N56" s="83" t="e">
        <f t="shared" si="19"/>
        <v>#DIV/0!</v>
      </c>
      <c r="O56" s="83" t="e">
        <f t="shared" si="19"/>
        <v>#DIV/0!</v>
      </c>
      <c r="P56" s="83">
        <f t="shared" si="19"/>
        <v>0</v>
      </c>
      <c r="Q56" s="83">
        <f t="shared" si="19"/>
        <v>0</v>
      </c>
      <c r="R56" s="83">
        <f t="shared" si="19"/>
        <v>0</v>
      </c>
      <c r="S56" s="84">
        <f t="shared" si="19"/>
        <v>0</v>
      </c>
      <c r="T56" s="162" t="e">
        <f t="shared" si="17"/>
        <v>#DIV/0!</v>
      </c>
      <c r="U56" s="271" t="e">
        <f>SUMPRODUCT(D56:S56,$D$5:$S$5)</f>
        <v>#DIV/0!</v>
      </c>
    </row>
    <row r="57" spans="2:22" ht="15.75" thickBot="1" x14ac:dyDescent="0.3">
      <c r="B57" s="805"/>
      <c r="C57" s="169" t="s">
        <v>150</v>
      </c>
      <c r="D57" s="86">
        <f>D56*$V$57</f>
        <v>0.64492216676907721</v>
      </c>
      <c r="E57" s="65">
        <f>E56*$V$57</f>
        <v>0.93836269117765525</v>
      </c>
      <c r="F57" s="65">
        <f>F56*$V$57</f>
        <v>0.71344074099873356</v>
      </c>
      <c r="G57" s="65">
        <f>G56*$V$57</f>
        <v>0.81284801950805041</v>
      </c>
      <c r="H57" s="65">
        <f t="shared" ref="H57:J57" si="20">H56*$V$57</f>
        <v>0</v>
      </c>
      <c r="I57" s="65">
        <f t="shared" si="20"/>
        <v>0</v>
      </c>
      <c r="J57" s="65">
        <f t="shared" si="20"/>
        <v>0</v>
      </c>
      <c r="K57" s="72">
        <f>K56*$V$57</f>
        <v>0</v>
      </c>
      <c r="L57" s="86" t="e">
        <f>L56*$V$57</f>
        <v>#DIV/0!</v>
      </c>
      <c r="M57" s="65" t="e">
        <f>M56*$V$57</f>
        <v>#DIV/0!</v>
      </c>
      <c r="N57" s="65" t="e">
        <f>N56*$V$57</f>
        <v>#DIV/0!</v>
      </c>
      <c r="O57" s="65" t="e">
        <f>O56*$V$57</f>
        <v>#DIV/0!</v>
      </c>
      <c r="P57" s="65">
        <f t="shared" ref="P57:R57" si="21">P56*$V$57</f>
        <v>0</v>
      </c>
      <c r="Q57" s="65">
        <f t="shared" si="21"/>
        <v>0</v>
      </c>
      <c r="R57" s="65">
        <f t="shared" si="21"/>
        <v>0</v>
      </c>
      <c r="S57" s="72">
        <f>S56*$V$57</f>
        <v>0</v>
      </c>
      <c r="T57" s="292" t="e">
        <f t="shared" si="17"/>
        <v>#DIV/0!</v>
      </c>
      <c r="U57" s="293" t="e">
        <f t="shared" ref="U57:U58" si="22">SUMPRODUCT(D57:S57,$D$5:$S$5)</f>
        <v>#DIV/0!</v>
      </c>
      <c r="V57" s="235">
        <f>C5</f>
        <v>0.03</v>
      </c>
    </row>
    <row r="58" spans="2:22" ht="15.75" thickBot="1" x14ac:dyDescent="0.3">
      <c r="B58" s="806"/>
      <c r="C58" s="219" t="s">
        <v>140</v>
      </c>
      <c r="D58" s="118">
        <f t="shared" ref="D58:S58" si="23">D56+D57</f>
        <v>22.142327725738319</v>
      </c>
      <c r="E58" s="81">
        <f t="shared" si="23"/>
        <v>32.217119063766162</v>
      </c>
      <c r="F58" s="81">
        <f t="shared" si="23"/>
        <v>24.494798774289855</v>
      </c>
      <c r="G58" s="81">
        <f t="shared" si="23"/>
        <v>27.90778200310973</v>
      </c>
      <c r="H58" s="247"/>
      <c r="I58" s="247"/>
      <c r="J58" s="247"/>
      <c r="K58" s="247">
        <f t="shared" si="23"/>
        <v>0</v>
      </c>
      <c r="L58" s="118" t="e">
        <f t="shared" si="23"/>
        <v>#DIV/0!</v>
      </c>
      <c r="M58" s="81" t="e">
        <f t="shared" si="23"/>
        <v>#DIV/0!</v>
      </c>
      <c r="N58" s="81" t="e">
        <f t="shared" si="23"/>
        <v>#DIV/0!</v>
      </c>
      <c r="O58" s="81" t="e">
        <f t="shared" si="23"/>
        <v>#DIV/0!</v>
      </c>
      <c r="P58" s="81">
        <f t="shared" si="23"/>
        <v>0</v>
      </c>
      <c r="Q58" s="81">
        <f t="shared" si="23"/>
        <v>0</v>
      </c>
      <c r="R58" s="81">
        <f t="shared" si="23"/>
        <v>0</v>
      </c>
      <c r="S58" s="247">
        <f t="shared" si="23"/>
        <v>0</v>
      </c>
      <c r="T58" s="618" t="e">
        <f t="shared" si="17"/>
        <v>#DIV/0!</v>
      </c>
      <c r="U58" s="294" t="e">
        <f t="shared" si="22"/>
        <v>#DIV/0!</v>
      </c>
    </row>
    <row r="59" spans="2:22" s="10" customFormat="1" ht="15.75" thickBot="1" x14ac:dyDescent="0.3">
      <c r="B59" s="59"/>
      <c r="C59" s="60"/>
      <c r="D59" s="62"/>
      <c r="E59" s="62"/>
      <c r="F59" s="62"/>
      <c r="G59" s="62"/>
      <c r="H59" s="62"/>
      <c r="I59" s="62"/>
      <c r="J59" s="62"/>
      <c r="K59" s="62"/>
      <c r="L59" s="62"/>
      <c r="M59" s="62"/>
      <c r="N59" s="62"/>
      <c r="O59" s="62"/>
      <c r="P59" s="62"/>
      <c r="Q59" s="62"/>
      <c r="R59" s="62"/>
      <c r="S59" s="62"/>
      <c r="T59" s="206"/>
      <c r="U59" s="249"/>
    </row>
    <row r="60" spans="2:22" s="10" customFormat="1" x14ac:dyDescent="0.25">
      <c r="B60" s="795" t="s">
        <v>153</v>
      </c>
      <c r="C60" s="218" t="s">
        <v>182</v>
      </c>
      <c r="D60" s="117">
        <f>D44</f>
        <v>28.968695758982747</v>
      </c>
      <c r="E60" s="83">
        <f>E44</f>
        <v>25.116695758982754</v>
      </c>
      <c r="F60" s="83">
        <f t="shared" ref="F60:S60" si="24">F44</f>
        <v>24.046695758982754</v>
      </c>
      <c r="G60" s="83">
        <f t="shared" si="24"/>
        <v>24.046695758982754</v>
      </c>
      <c r="H60" s="83">
        <f t="shared" si="24"/>
        <v>0</v>
      </c>
      <c r="I60" s="83">
        <f t="shared" si="24"/>
        <v>0</v>
      </c>
      <c r="J60" s="83">
        <f t="shared" si="24"/>
        <v>0</v>
      </c>
      <c r="K60" s="243">
        <f t="shared" si="24"/>
        <v>0</v>
      </c>
      <c r="L60" s="117">
        <f t="shared" si="24"/>
        <v>21.3349708905426</v>
      </c>
      <c r="M60" s="83">
        <f t="shared" si="24"/>
        <v>21.3349708905426</v>
      </c>
      <c r="N60" s="83">
        <f t="shared" si="24"/>
        <v>21.3349708905426</v>
      </c>
      <c r="O60" s="83">
        <f t="shared" si="24"/>
        <v>21.3349708905426</v>
      </c>
      <c r="P60" s="83">
        <f t="shared" si="24"/>
        <v>0</v>
      </c>
      <c r="Q60" s="83">
        <f t="shared" si="24"/>
        <v>0</v>
      </c>
      <c r="R60" s="83">
        <f t="shared" si="24"/>
        <v>0</v>
      </c>
      <c r="S60" s="243">
        <f t="shared" si="24"/>
        <v>0</v>
      </c>
      <c r="T60" s="250">
        <f>SUMPRODUCT(D60:S60,$D$5:$S$5)/$D$7</f>
        <v>24.475750234568586</v>
      </c>
      <c r="U60" s="271">
        <f>SUMPRODUCT(D60:S60,$D$5:$S$5)</f>
        <v>771769.35639641667</v>
      </c>
    </row>
    <row r="61" spans="2:22" s="10" customFormat="1" ht="15.75" thickBot="1" x14ac:dyDescent="0.3">
      <c r="B61" s="805"/>
      <c r="C61" s="295" t="s">
        <v>183</v>
      </c>
      <c r="D61" s="220">
        <f t="shared" ref="D61:S61" si="25">D58</f>
        <v>22.142327725738319</v>
      </c>
      <c r="E61" s="69">
        <f t="shared" si="25"/>
        <v>32.217119063766162</v>
      </c>
      <c r="F61" s="69">
        <f t="shared" si="25"/>
        <v>24.494798774289855</v>
      </c>
      <c r="G61" s="69">
        <f t="shared" si="25"/>
        <v>27.90778200310973</v>
      </c>
      <c r="H61" s="69">
        <f t="shared" si="25"/>
        <v>0</v>
      </c>
      <c r="I61" s="69">
        <f t="shared" si="25"/>
        <v>0</v>
      </c>
      <c r="J61" s="69">
        <f t="shared" si="25"/>
        <v>0</v>
      </c>
      <c r="K61" s="242">
        <f t="shared" si="25"/>
        <v>0</v>
      </c>
      <c r="L61" s="220" t="e">
        <f t="shared" si="25"/>
        <v>#DIV/0!</v>
      </c>
      <c r="M61" s="69" t="e">
        <f t="shared" si="25"/>
        <v>#DIV/0!</v>
      </c>
      <c r="N61" s="69" t="e">
        <f t="shared" si="25"/>
        <v>#DIV/0!</v>
      </c>
      <c r="O61" s="69" t="e">
        <f t="shared" si="25"/>
        <v>#DIV/0!</v>
      </c>
      <c r="P61" s="69">
        <f t="shared" si="25"/>
        <v>0</v>
      </c>
      <c r="Q61" s="69">
        <f t="shared" si="25"/>
        <v>0</v>
      </c>
      <c r="R61" s="69">
        <f t="shared" si="25"/>
        <v>0</v>
      </c>
      <c r="S61" s="242">
        <f t="shared" si="25"/>
        <v>0</v>
      </c>
      <c r="T61" s="254" t="e">
        <f t="shared" ref="T61:T62" si="26">SUMPRODUCT(D61:S61,$D$5:$S$5)/$D$7</f>
        <v>#DIV/0!</v>
      </c>
      <c r="U61" s="293" t="e">
        <f t="shared" ref="U61:U62" si="27">SUMPRODUCT(D61:S61,$D$5:$S$5)</f>
        <v>#DIV/0!</v>
      </c>
    </row>
    <row r="62" spans="2:22" s="10" customFormat="1" ht="15.75" thickBot="1" x14ac:dyDescent="0.3">
      <c r="B62" s="806"/>
      <c r="C62" s="219" t="s">
        <v>184</v>
      </c>
      <c r="D62" s="120">
        <f t="shared" ref="D62:S62" si="28">D60+D61</f>
        <v>51.111023484721066</v>
      </c>
      <c r="E62" s="78">
        <f t="shared" si="28"/>
        <v>57.33381482274892</v>
      </c>
      <c r="F62" s="78">
        <f t="shared" si="28"/>
        <v>48.541494533272612</v>
      </c>
      <c r="G62" s="78">
        <f t="shared" si="28"/>
        <v>51.95447776209248</v>
      </c>
      <c r="H62" s="253"/>
      <c r="I62" s="253"/>
      <c r="J62" s="253"/>
      <c r="K62" s="253">
        <f t="shared" si="28"/>
        <v>0</v>
      </c>
      <c r="L62" s="120" t="e">
        <f t="shared" si="28"/>
        <v>#DIV/0!</v>
      </c>
      <c r="M62" s="78" t="e">
        <f t="shared" si="28"/>
        <v>#DIV/0!</v>
      </c>
      <c r="N62" s="78" t="e">
        <f t="shared" si="28"/>
        <v>#DIV/0!</v>
      </c>
      <c r="O62" s="78" t="e">
        <f t="shared" si="28"/>
        <v>#DIV/0!</v>
      </c>
      <c r="P62" s="253"/>
      <c r="Q62" s="253"/>
      <c r="R62" s="253"/>
      <c r="S62" s="253">
        <f t="shared" si="28"/>
        <v>0</v>
      </c>
      <c r="T62" s="618" t="e">
        <f t="shared" si="26"/>
        <v>#DIV/0!</v>
      </c>
      <c r="U62" s="294" t="e">
        <f t="shared" si="27"/>
        <v>#DIV/0!</v>
      </c>
    </row>
    <row r="63" spans="2:22" ht="15.75" thickBot="1" x14ac:dyDescent="0.3">
      <c r="B63"/>
      <c r="T63" s="206"/>
      <c r="U63" s="249"/>
    </row>
    <row r="64" spans="2:22" x14ac:dyDescent="0.25">
      <c r="B64" s="795" t="s">
        <v>180</v>
      </c>
      <c r="C64" s="218" t="s">
        <v>181</v>
      </c>
      <c r="D64" s="296">
        <v>0</v>
      </c>
      <c r="E64" s="290">
        <v>0</v>
      </c>
      <c r="F64" s="290">
        <v>0</v>
      </c>
      <c r="G64" s="290">
        <v>0</v>
      </c>
      <c r="H64" s="291">
        <v>0</v>
      </c>
      <c r="I64" s="291">
        <v>0</v>
      </c>
      <c r="J64" s="291">
        <v>0</v>
      </c>
      <c r="K64" s="291">
        <v>0</v>
      </c>
      <c r="L64" s="296">
        <v>0</v>
      </c>
      <c r="M64" s="290">
        <v>0</v>
      </c>
      <c r="N64" s="290">
        <v>0</v>
      </c>
      <c r="O64" s="290">
        <v>0</v>
      </c>
      <c r="P64" s="291">
        <v>0</v>
      </c>
      <c r="Q64" s="291">
        <v>0</v>
      </c>
      <c r="R64" s="291">
        <v>0</v>
      </c>
      <c r="S64" s="291">
        <v>0</v>
      </c>
      <c r="T64" s="622">
        <f>SUMPRODUCT(D64:S64,$D$5:$S$5)/$D$7</f>
        <v>0</v>
      </c>
      <c r="U64" s="271">
        <f>SUMPRODUCT(D64:S64,$D$5:$S$5)</f>
        <v>0</v>
      </c>
    </row>
    <row r="65" spans="2:23" ht="15.75" thickBot="1" x14ac:dyDescent="0.3">
      <c r="B65" s="805"/>
      <c r="C65" s="211" t="s">
        <v>200</v>
      </c>
      <c r="D65" s="112">
        <f>D64-D62</f>
        <v>-51.111023484721066</v>
      </c>
      <c r="E65" s="67">
        <f t="shared" ref="E65:S65" si="29">E64-E62</f>
        <v>-57.33381482274892</v>
      </c>
      <c r="F65" s="67">
        <f t="shared" si="29"/>
        <v>-48.541494533272612</v>
      </c>
      <c r="G65" s="67">
        <f t="shared" si="29"/>
        <v>-51.95447776209248</v>
      </c>
      <c r="H65" s="67">
        <f t="shared" si="29"/>
        <v>0</v>
      </c>
      <c r="I65" s="67">
        <f t="shared" si="29"/>
        <v>0</v>
      </c>
      <c r="J65" s="67">
        <f t="shared" si="29"/>
        <v>0</v>
      </c>
      <c r="K65" s="239">
        <f t="shared" si="29"/>
        <v>0</v>
      </c>
      <c r="L65" s="112" t="e">
        <f t="shared" si="29"/>
        <v>#DIV/0!</v>
      </c>
      <c r="M65" s="67" t="e">
        <f t="shared" si="29"/>
        <v>#DIV/0!</v>
      </c>
      <c r="N65" s="67" t="e">
        <f t="shared" si="29"/>
        <v>#DIV/0!</v>
      </c>
      <c r="O65" s="67" t="e">
        <f t="shared" si="29"/>
        <v>#DIV/0!</v>
      </c>
      <c r="P65" s="67">
        <f t="shared" si="29"/>
        <v>0</v>
      </c>
      <c r="Q65" s="67">
        <f t="shared" si="29"/>
        <v>0</v>
      </c>
      <c r="R65" s="67">
        <f t="shared" si="29"/>
        <v>0</v>
      </c>
      <c r="S65" s="239">
        <f t="shared" si="29"/>
        <v>0</v>
      </c>
      <c r="T65" s="623" t="e">
        <f t="shared" ref="T65:T66" si="30">SUMPRODUCT(D65:S65,$D$5:$S$5)/$D$7</f>
        <v>#DIV/0!</v>
      </c>
      <c r="U65" s="293" t="e">
        <f>SUMPRODUCT(D65:S65,$D$5:$S$5)</f>
        <v>#DIV/0!</v>
      </c>
    </row>
    <row r="66" spans="2:23" ht="15.75" thickBot="1" x14ac:dyDescent="0.3">
      <c r="B66" s="806"/>
      <c r="C66" s="169" t="s">
        <v>201</v>
      </c>
      <c r="D66" s="244">
        <f>IF(D5=0,0,D65/D62)</f>
        <v>-1</v>
      </c>
      <c r="E66" s="245">
        <f t="shared" ref="E66:S66" si="31">IF(E5=0,0,E65/E62)</f>
        <v>-1</v>
      </c>
      <c r="F66" s="245">
        <f t="shared" si="31"/>
        <v>-1</v>
      </c>
      <c r="G66" s="245">
        <f t="shared" si="31"/>
        <v>-1</v>
      </c>
      <c r="H66" s="245">
        <f t="shared" si="31"/>
        <v>0</v>
      </c>
      <c r="I66" s="245">
        <f t="shared" si="31"/>
        <v>0</v>
      </c>
      <c r="J66" s="245">
        <f t="shared" si="31"/>
        <v>0</v>
      </c>
      <c r="K66" s="246">
        <f t="shared" si="31"/>
        <v>0</v>
      </c>
      <c r="L66" s="244" t="e">
        <f t="shared" si="31"/>
        <v>#DIV/0!</v>
      </c>
      <c r="M66" s="245" t="e">
        <f t="shared" si="31"/>
        <v>#DIV/0!</v>
      </c>
      <c r="N66" s="245" t="e">
        <f t="shared" si="31"/>
        <v>#DIV/0!</v>
      </c>
      <c r="O66" s="245" t="e">
        <f t="shared" si="31"/>
        <v>#DIV/0!</v>
      </c>
      <c r="P66" s="245">
        <f t="shared" si="31"/>
        <v>0</v>
      </c>
      <c r="Q66" s="245">
        <f t="shared" si="31"/>
        <v>0</v>
      </c>
      <c r="R66" s="245">
        <f t="shared" si="31"/>
        <v>0</v>
      </c>
      <c r="S66" s="246">
        <f t="shared" si="31"/>
        <v>0</v>
      </c>
      <c r="T66" s="624" t="e">
        <f t="shared" si="30"/>
        <v>#DIV/0!</v>
      </c>
      <c r="U66" s="621"/>
    </row>
    <row r="67" spans="2:23" x14ac:dyDescent="0.25">
      <c r="B67" s="282"/>
    </row>
    <row r="68" spans="2:23" ht="15.75" thickBot="1" x14ac:dyDescent="0.3">
      <c r="B68"/>
    </row>
    <row r="69" spans="2:23" ht="21.75" thickBot="1" x14ac:dyDescent="0.4">
      <c r="B69"/>
      <c r="T69" s="807" t="s">
        <v>202</v>
      </c>
      <c r="U69" s="808"/>
      <c r="V69" s="808"/>
      <c r="W69" s="809"/>
    </row>
    <row r="70" spans="2:23" ht="21.75" thickBot="1" x14ac:dyDescent="0.3">
      <c r="B70"/>
      <c r="T70" s="817" t="e">
        <f>U65</f>
        <v>#DIV/0!</v>
      </c>
      <c r="U70" s="818"/>
      <c r="V70" s="818"/>
      <c r="W70" s="819"/>
    </row>
    <row r="71" spans="2:23" ht="21.75" thickBot="1" x14ac:dyDescent="0.4">
      <c r="B71"/>
      <c r="T71" s="820" t="e">
        <f>T66</f>
        <v>#DIV/0!</v>
      </c>
      <c r="U71" s="821"/>
      <c r="V71" s="821"/>
      <c r="W71" s="822"/>
    </row>
    <row r="72" spans="2:23" x14ac:dyDescent="0.25">
      <c r="B72"/>
    </row>
    <row r="73" spans="2:23" x14ac:dyDescent="0.25">
      <c r="B73"/>
    </row>
    <row r="74" spans="2:23" x14ac:dyDescent="0.25">
      <c r="B74"/>
    </row>
    <row r="75" spans="2:23" x14ac:dyDescent="0.25">
      <c r="B75"/>
    </row>
    <row r="76" spans="2:23" x14ac:dyDescent="0.25">
      <c r="B76"/>
    </row>
    <row r="77" spans="2:23" x14ac:dyDescent="0.25">
      <c r="B77"/>
    </row>
    <row r="78" spans="2:23" x14ac:dyDescent="0.25">
      <c r="B78"/>
    </row>
    <row r="79" spans="2:23" x14ac:dyDescent="0.25">
      <c r="B79"/>
    </row>
    <row r="80" spans="2:23" x14ac:dyDescent="0.25">
      <c r="B80"/>
    </row>
    <row r="81" spans="2:2" x14ac:dyDescent="0.25">
      <c r="B81"/>
    </row>
    <row r="82" spans="2:2" x14ac:dyDescent="0.25">
      <c r="B82"/>
    </row>
    <row r="83" spans="2:2" x14ac:dyDescent="0.25">
      <c r="B83"/>
    </row>
    <row r="84" spans="2:2" x14ac:dyDescent="0.25">
      <c r="B84"/>
    </row>
  </sheetData>
  <mergeCells count="23">
    <mergeCell ref="T70:W70"/>
    <mergeCell ref="T71:W71"/>
    <mergeCell ref="D7:S7"/>
    <mergeCell ref="B2:C2"/>
    <mergeCell ref="C20:U20"/>
    <mergeCell ref="C47:U47"/>
    <mergeCell ref="D1:S2"/>
    <mergeCell ref="D3:K3"/>
    <mergeCell ref="L3:S3"/>
    <mergeCell ref="D6:K6"/>
    <mergeCell ref="L6:S6"/>
    <mergeCell ref="B20:B36"/>
    <mergeCell ref="B47:B58"/>
    <mergeCell ref="B6:C7"/>
    <mergeCell ref="B8:B9"/>
    <mergeCell ref="C8:U9"/>
    <mergeCell ref="B11:B18"/>
    <mergeCell ref="C11:U11"/>
    <mergeCell ref="B64:B66"/>
    <mergeCell ref="B60:B62"/>
    <mergeCell ref="T69:W69"/>
    <mergeCell ref="B38:B44"/>
    <mergeCell ref="C38:U38"/>
  </mergeCells>
  <conditionalFormatting sqref="T71:W71">
    <cfRule type="iconSet" priority="1">
      <iconSet iconSet="3TrafficLights2">
        <cfvo type="percent" val="0"/>
        <cfvo type="num" val="1E-3"/>
        <cfvo type="num" val="0.03"/>
      </iconSet>
    </cfRule>
  </conditionalFormatting>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workbookViewId="0">
      <pane ySplit="1" topLeftCell="A2" activePane="bottomLeft" state="frozen"/>
      <selection pane="bottomLeft" activeCell="M8" sqref="M8"/>
    </sheetView>
  </sheetViews>
  <sheetFormatPr baseColWidth="10" defaultRowHeight="15" x14ac:dyDescent="0.25"/>
  <cols>
    <col min="3" max="3" width="13.42578125" bestFit="1" customWidth="1"/>
    <col min="11" max="11" width="12.5703125" bestFit="1" customWidth="1"/>
  </cols>
  <sheetData>
    <row r="1" spans="1:19" s="10" customFormat="1" ht="23.25" customHeight="1" x14ac:dyDescent="0.25">
      <c r="A1" s="838" t="str">
        <f>Total!C8</f>
        <v>LEMANCEAU_COURT</v>
      </c>
      <c r="B1" s="838"/>
      <c r="C1" s="838"/>
      <c r="D1" s="838"/>
      <c r="E1" s="838"/>
      <c r="F1" s="838"/>
      <c r="G1" s="838"/>
      <c r="H1" s="838"/>
      <c r="I1" s="838"/>
      <c r="J1" s="838"/>
      <c r="K1" s="838"/>
      <c r="L1" s="838"/>
      <c r="M1" s="838"/>
      <c r="N1" s="838"/>
      <c r="O1" s="838"/>
      <c r="P1" s="838"/>
      <c r="Q1" s="838"/>
      <c r="R1" s="838"/>
      <c r="S1" s="838"/>
    </row>
    <row r="2" spans="1:19" ht="15.75" thickBot="1" x14ac:dyDescent="0.3"/>
    <row r="3" spans="1:19" ht="15.75" thickBot="1" x14ac:dyDescent="0.3">
      <c r="B3" s="785" t="s">
        <v>284</v>
      </c>
      <c r="C3" s="786"/>
      <c r="D3" s="786"/>
      <c r="E3" s="787"/>
      <c r="H3" s="785" t="s">
        <v>288</v>
      </c>
      <c r="I3" s="786"/>
      <c r="J3" s="786"/>
      <c r="K3" s="787"/>
      <c r="L3" s="10"/>
    </row>
    <row r="4" spans="1:19" ht="15.75" thickBot="1" x14ac:dyDescent="0.3">
      <c r="B4" s="394"/>
      <c r="C4" s="395" t="s">
        <v>285</v>
      </c>
      <c r="D4" s="396" t="s">
        <v>286</v>
      </c>
      <c r="E4" s="397" t="s">
        <v>287</v>
      </c>
      <c r="H4" s="394"/>
      <c r="I4" s="395" t="s">
        <v>285</v>
      </c>
      <c r="J4" s="396" t="s">
        <v>286</v>
      </c>
      <c r="K4" s="397" t="s">
        <v>287</v>
      </c>
      <c r="L4" s="10"/>
    </row>
    <row r="5" spans="1:19" x14ac:dyDescent="0.25">
      <c r="B5" s="211" t="s">
        <v>0</v>
      </c>
      <c r="C5" s="507">
        <v>6</v>
      </c>
      <c r="D5" s="447">
        <v>4.33</v>
      </c>
      <c r="E5" s="448">
        <v>4.67</v>
      </c>
      <c r="F5" s="530" t="s">
        <v>2</v>
      </c>
      <c r="H5" s="211" t="s">
        <v>0</v>
      </c>
      <c r="I5" s="507">
        <v>11.16</v>
      </c>
      <c r="J5" s="447">
        <v>8.4</v>
      </c>
      <c r="K5" s="448">
        <v>9</v>
      </c>
      <c r="L5" s="530" t="s">
        <v>2</v>
      </c>
      <c r="M5" s="842" t="s">
        <v>105</v>
      </c>
      <c r="N5" s="843"/>
    </row>
    <row r="6" spans="1:19" ht="15.75" thickBot="1" x14ac:dyDescent="0.3">
      <c r="B6" s="211" t="s">
        <v>24</v>
      </c>
      <c r="C6" s="382">
        <v>6.5</v>
      </c>
      <c r="D6" s="52">
        <v>4.33</v>
      </c>
      <c r="E6" s="17">
        <v>4.67</v>
      </c>
      <c r="F6" s="530" t="s">
        <v>2</v>
      </c>
      <c r="H6" s="295" t="s">
        <v>24</v>
      </c>
      <c r="I6" s="508">
        <v>7.44</v>
      </c>
      <c r="J6" s="450">
        <v>5.6</v>
      </c>
      <c r="K6" s="451">
        <v>6</v>
      </c>
      <c r="L6" s="530" t="s">
        <v>2</v>
      </c>
      <c r="M6" s="844"/>
      <c r="N6" s="845"/>
    </row>
    <row r="7" spans="1:19" ht="15.75" thickBot="1" x14ac:dyDescent="0.3">
      <c r="B7" s="295" t="s">
        <v>25</v>
      </c>
      <c r="C7" s="508">
        <v>6.75</v>
      </c>
      <c r="D7" s="450">
        <v>4.58</v>
      </c>
      <c r="E7" s="451">
        <v>4.67</v>
      </c>
      <c r="F7" s="530" t="s">
        <v>2</v>
      </c>
      <c r="H7" s="181" t="s">
        <v>41</v>
      </c>
      <c r="I7" s="144">
        <f>SUM(I5:I6)</f>
        <v>18.600000000000001</v>
      </c>
      <c r="J7" s="142">
        <f t="shared" ref="J7:K7" si="0">SUM(J5:J6)</f>
        <v>14</v>
      </c>
      <c r="K7" s="107">
        <f t="shared" si="0"/>
        <v>15</v>
      </c>
      <c r="L7" s="530" t="s">
        <v>2</v>
      </c>
      <c r="M7" s="846"/>
      <c r="N7" s="847"/>
    </row>
    <row r="8" spans="1:19" ht="15.75" thickBot="1" x14ac:dyDescent="0.3">
      <c r="B8" s="140" t="s">
        <v>41</v>
      </c>
      <c r="C8" s="141">
        <f>SUM(C5:C7)</f>
        <v>19.25</v>
      </c>
      <c r="D8" s="142">
        <f t="shared" ref="D8:E8" si="1">SUM(D5:D7)</f>
        <v>13.24</v>
      </c>
      <c r="E8" s="142">
        <f t="shared" si="1"/>
        <v>14.01</v>
      </c>
      <c r="F8" s="530" t="s">
        <v>2</v>
      </c>
    </row>
    <row r="11" spans="1:19" ht="15.75" thickBot="1" x14ac:dyDescent="0.3"/>
    <row r="12" spans="1:19" ht="15.75" thickBot="1" x14ac:dyDescent="0.3">
      <c r="B12" s="839" t="s">
        <v>289</v>
      </c>
      <c r="C12" s="840"/>
      <c r="D12" s="840"/>
      <c r="E12" s="840"/>
      <c r="F12" s="840"/>
      <c r="G12" s="841"/>
      <c r="J12" s="839" t="s">
        <v>294</v>
      </c>
      <c r="K12" s="840"/>
      <c r="L12" s="840"/>
      <c r="M12" s="840"/>
      <c r="N12" s="840"/>
      <c r="O12" s="841"/>
      <c r="P12" s="10"/>
    </row>
    <row r="13" spans="1:19" ht="15.75" thickBot="1" x14ac:dyDescent="0.3">
      <c r="B13" s="394"/>
      <c r="C13" s="395" t="s">
        <v>290</v>
      </c>
      <c r="D13" s="396" t="s">
        <v>291</v>
      </c>
      <c r="E13" s="396" t="s">
        <v>292</v>
      </c>
      <c r="F13" s="396" t="s">
        <v>293</v>
      </c>
      <c r="G13" s="397" t="s">
        <v>286</v>
      </c>
      <c r="J13" s="108"/>
      <c r="K13" s="255" t="s">
        <v>290</v>
      </c>
      <c r="L13" s="396" t="s">
        <v>291</v>
      </c>
      <c r="M13" s="396" t="s">
        <v>292</v>
      </c>
      <c r="N13" s="396" t="s">
        <v>293</v>
      </c>
      <c r="O13" s="397" t="s">
        <v>286</v>
      </c>
      <c r="P13" s="10"/>
    </row>
    <row r="14" spans="1:19" x14ac:dyDescent="0.25">
      <c r="B14" s="211" t="s">
        <v>0</v>
      </c>
      <c r="C14" s="509">
        <v>3.79</v>
      </c>
      <c r="D14" s="454">
        <v>4.0599999999999996</v>
      </c>
      <c r="E14" s="454">
        <v>5.09</v>
      </c>
      <c r="F14" s="454">
        <v>9.52</v>
      </c>
      <c r="G14" s="480">
        <v>2.63</v>
      </c>
      <c r="H14" s="530" t="s">
        <v>2</v>
      </c>
      <c r="J14" s="25" t="s">
        <v>0</v>
      </c>
      <c r="K14" s="531">
        <v>8.67</v>
      </c>
      <c r="L14" s="454">
        <v>8.92</v>
      </c>
      <c r="M14" s="454">
        <v>9.94</v>
      </c>
      <c r="N14" s="454">
        <v>9.52</v>
      </c>
      <c r="O14" s="480">
        <v>6.39</v>
      </c>
      <c r="P14" s="530" t="s">
        <v>2</v>
      </c>
    </row>
    <row r="15" spans="1:19" x14ac:dyDescent="0.25">
      <c r="B15" s="211" t="s">
        <v>24</v>
      </c>
      <c r="C15" s="382">
        <v>7.2</v>
      </c>
      <c r="D15" s="52">
        <v>7.34</v>
      </c>
      <c r="E15" s="52">
        <v>7.55</v>
      </c>
      <c r="F15" s="52">
        <v>8.59</v>
      </c>
      <c r="G15" s="17">
        <v>4.58</v>
      </c>
      <c r="H15" s="530" t="s">
        <v>2</v>
      </c>
      <c r="J15" s="25" t="s">
        <v>24</v>
      </c>
      <c r="K15" s="133">
        <v>7.58</v>
      </c>
      <c r="L15" s="52">
        <v>7.72</v>
      </c>
      <c r="M15" s="52">
        <v>7.94</v>
      </c>
      <c r="N15" s="52">
        <v>8.59</v>
      </c>
      <c r="O15" s="17">
        <v>4.82</v>
      </c>
      <c r="P15" s="530" t="s">
        <v>2</v>
      </c>
    </row>
    <row r="16" spans="1:19" ht="15.75" thickBot="1" x14ac:dyDescent="0.3">
      <c r="B16" s="295" t="s">
        <v>25</v>
      </c>
      <c r="C16" s="508">
        <v>5.25</v>
      </c>
      <c r="D16" s="450">
        <v>5.25</v>
      </c>
      <c r="E16" s="450">
        <v>5.25</v>
      </c>
      <c r="F16" s="450">
        <v>5.25</v>
      </c>
      <c r="G16" s="451">
        <v>4</v>
      </c>
      <c r="H16" s="530" t="s">
        <v>2</v>
      </c>
      <c r="J16" s="45" t="s">
        <v>25</v>
      </c>
      <c r="K16" s="532" t="s">
        <v>295</v>
      </c>
      <c r="L16" s="450" t="s">
        <v>295</v>
      </c>
      <c r="M16" s="450" t="s">
        <v>295</v>
      </c>
      <c r="N16" s="450">
        <v>5.25</v>
      </c>
      <c r="O16" s="451" t="s">
        <v>295</v>
      </c>
      <c r="P16" s="530" t="s">
        <v>2</v>
      </c>
    </row>
    <row r="17" spans="2:16" ht="15.75" thickBot="1" x14ac:dyDescent="0.3">
      <c r="B17" s="140" t="s">
        <v>41</v>
      </c>
      <c r="C17" s="203">
        <f>SUM(C14:C16)</f>
        <v>16.240000000000002</v>
      </c>
      <c r="D17" s="415">
        <f t="shared" ref="D17" si="2">SUM(D14:D16)</f>
        <v>16.649999999999999</v>
      </c>
      <c r="E17" s="415">
        <f t="shared" ref="E17" si="3">SUM(E14:E16)</f>
        <v>17.89</v>
      </c>
      <c r="F17" s="415">
        <f t="shared" ref="F17" si="4">SUM(F14:F16)</f>
        <v>23.36</v>
      </c>
      <c r="G17" s="415">
        <f t="shared" ref="G17" si="5">SUM(G14:G16)</f>
        <v>11.21</v>
      </c>
      <c r="H17" s="530" t="s">
        <v>2</v>
      </c>
      <c r="J17" s="140" t="s">
        <v>41</v>
      </c>
      <c r="K17" s="203">
        <f>SUM(K14:K16)</f>
        <v>16.25</v>
      </c>
      <c r="L17" s="415">
        <f t="shared" ref="L17" si="6">SUM(L14:L16)</f>
        <v>16.64</v>
      </c>
      <c r="M17" s="415">
        <f t="shared" ref="M17" si="7">SUM(M14:M16)</f>
        <v>17.88</v>
      </c>
      <c r="N17" s="415">
        <f t="shared" ref="N17" si="8">SUM(N14:N16)</f>
        <v>23.36</v>
      </c>
      <c r="O17" s="415">
        <f t="shared" ref="O17" si="9">SUM(O14:O16)</f>
        <v>11.21</v>
      </c>
      <c r="P17" s="530" t="s">
        <v>2</v>
      </c>
    </row>
  </sheetData>
  <mergeCells count="6">
    <mergeCell ref="B3:E3"/>
    <mergeCell ref="H3:K3"/>
    <mergeCell ref="A1:S1"/>
    <mergeCell ref="B12:G12"/>
    <mergeCell ref="J12:O12"/>
    <mergeCell ref="M5:N7"/>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workbookViewId="0">
      <pane ySplit="1" topLeftCell="A2" activePane="bottomLeft" state="frozen"/>
      <selection pane="bottomLeft" activeCell="F8" sqref="F8"/>
    </sheetView>
  </sheetViews>
  <sheetFormatPr baseColWidth="10" defaultRowHeight="15" x14ac:dyDescent="0.25"/>
  <cols>
    <col min="2" max="2" width="36.7109375" bestFit="1" customWidth="1"/>
    <col min="3" max="3" width="12.85546875" bestFit="1" customWidth="1"/>
  </cols>
  <sheetData>
    <row r="1" spans="1:19" ht="24.75" customHeight="1" x14ac:dyDescent="0.25">
      <c r="A1" s="838" t="str">
        <f>Total!C8</f>
        <v>LEMANCEAU_COURT</v>
      </c>
      <c r="B1" s="838"/>
      <c r="C1" s="838"/>
      <c r="D1" s="838"/>
      <c r="E1" s="838"/>
      <c r="F1" s="838"/>
      <c r="G1" s="838"/>
      <c r="H1" s="838"/>
      <c r="I1" s="838"/>
      <c r="J1" s="838"/>
      <c r="K1" s="838"/>
      <c r="L1" s="838"/>
      <c r="M1" s="838"/>
      <c r="N1" s="838"/>
      <c r="O1" s="838"/>
      <c r="P1" s="838"/>
      <c r="Q1" s="838"/>
      <c r="R1" s="838"/>
      <c r="S1" s="838"/>
    </row>
    <row r="2" spans="1:19" s="10" customFormat="1" ht="17.25" customHeight="1" thickBot="1" x14ac:dyDescent="0.3">
      <c r="A2" s="537"/>
      <c r="B2" s="537"/>
      <c r="C2" s="537"/>
      <c r="D2" s="537"/>
      <c r="E2" s="537"/>
      <c r="F2" s="537"/>
      <c r="G2" s="537"/>
      <c r="H2" s="537"/>
      <c r="I2" s="537"/>
      <c r="J2" s="537"/>
      <c r="K2" s="537"/>
      <c r="L2" s="537"/>
      <c r="M2" s="537"/>
      <c r="N2" s="537"/>
      <c r="O2" s="537"/>
      <c r="P2" s="537"/>
      <c r="Q2" s="537"/>
      <c r="R2" s="537"/>
      <c r="S2" s="537"/>
    </row>
    <row r="3" spans="1:19" ht="15.75" thickBot="1" x14ac:dyDescent="0.3">
      <c r="B3" s="560" t="s">
        <v>297</v>
      </c>
      <c r="C3" s="561" t="s">
        <v>324</v>
      </c>
    </row>
    <row r="4" spans="1:19" x14ac:dyDescent="0.25">
      <c r="B4" s="9" t="s">
        <v>299</v>
      </c>
      <c r="C4" s="480">
        <v>198</v>
      </c>
    </row>
    <row r="5" spans="1:19" x14ac:dyDescent="0.25">
      <c r="B5" s="3" t="s">
        <v>298</v>
      </c>
      <c r="C5" s="17">
        <v>198</v>
      </c>
    </row>
    <row r="6" spans="1:19" x14ac:dyDescent="0.25">
      <c r="B6" s="3" t="s">
        <v>300</v>
      </c>
      <c r="C6" s="17">
        <v>187</v>
      </c>
    </row>
    <row r="7" spans="1:19" x14ac:dyDescent="0.25">
      <c r="B7" s="3" t="s">
        <v>301</v>
      </c>
      <c r="C7" s="17">
        <v>121</v>
      </c>
    </row>
    <row r="8" spans="1:19" x14ac:dyDescent="0.25">
      <c r="B8" s="3" t="s">
        <v>302</v>
      </c>
      <c r="C8" s="17">
        <v>121</v>
      </c>
    </row>
    <row r="9" spans="1:19" x14ac:dyDescent="0.25">
      <c r="B9" s="3" t="s">
        <v>303</v>
      </c>
      <c r="C9" s="17">
        <v>137.5</v>
      </c>
    </row>
    <row r="10" spans="1:19" x14ac:dyDescent="0.25">
      <c r="B10" s="3" t="s">
        <v>304</v>
      </c>
      <c r="C10" s="17">
        <v>137.5</v>
      </c>
    </row>
    <row r="11" spans="1:19" x14ac:dyDescent="0.25">
      <c r="B11" s="3" t="s">
        <v>305</v>
      </c>
      <c r="C11" s="17">
        <v>78.099999999999994</v>
      </c>
    </row>
    <row r="12" spans="1:19" x14ac:dyDescent="0.25">
      <c r="B12" s="3" t="s">
        <v>306</v>
      </c>
      <c r="C12" s="17">
        <v>89.81</v>
      </c>
    </row>
    <row r="13" spans="1:19" x14ac:dyDescent="0.25">
      <c r="B13" s="3" t="s">
        <v>307</v>
      </c>
      <c r="C13" s="17">
        <v>95</v>
      </c>
    </row>
    <row r="14" spans="1:19" x14ac:dyDescent="0.25">
      <c r="B14" s="3" t="s">
        <v>308</v>
      </c>
      <c r="C14" s="17">
        <v>104.5</v>
      </c>
    </row>
    <row r="15" spans="1:19" x14ac:dyDescent="0.25">
      <c r="B15" s="3" t="s">
        <v>309</v>
      </c>
      <c r="C15" s="17">
        <v>115.5</v>
      </c>
    </row>
    <row r="16" spans="1:19" x14ac:dyDescent="0.25">
      <c r="B16" s="3" t="s">
        <v>312</v>
      </c>
      <c r="C16" s="17">
        <v>91.1</v>
      </c>
    </row>
    <row r="17" spans="2:3" x14ac:dyDescent="0.25">
      <c r="B17" s="3" t="s">
        <v>313</v>
      </c>
      <c r="C17" s="17">
        <v>83.35</v>
      </c>
    </row>
    <row r="18" spans="2:3" x14ac:dyDescent="0.25">
      <c r="B18" s="3" t="s">
        <v>310</v>
      </c>
      <c r="C18" s="17">
        <v>126.5</v>
      </c>
    </row>
    <row r="19" spans="2:3" x14ac:dyDescent="0.25">
      <c r="B19" s="3" t="s">
        <v>311</v>
      </c>
      <c r="C19" s="17">
        <v>118.8</v>
      </c>
    </row>
    <row r="20" spans="2:3" x14ac:dyDescent="0.25">
      <c r="B20" s="3" t="s">
        <v>314</v>
      </c>
      <c r="C20" s="17">
        <v>143</v>
      </c>
    </row>
    <row r="21" spans="2:3" x14ac:dyDescent="0.25">
      <c r="B21" s="3" t="s">
        <v>5</v>
      </c>
      <c r="C21" s="17">
        <v>115</v>
      </c>
    </row>
    <row r="22" spans="2:3" x14ac:dyDescent="0.25">
      <c r="B22" s="3" t="s">
        <v>315</v>
      </c>
      <c r="C22" s="17">
        <v>1012</v>
      </c>
    </row>
    <row r="23" spans="2:3" x14ac:dyDescent="0.25">
      <c r="B23" s="3" t="s">
        <v>316</v>
      </c>
      <c r="C23" s="17">
        <v>115.5</v>
      </c>
    </row>
    <row r="24" spans="2:3" x14ac:dyDescent="0.25">
      <c r="B24" s="3" t="s">
        <v>317</v>
      </c>
      <c r="C24" s="17">
        <v>122.6</v>
      </c>
    </row>
    <row r="25" spans="2:3" x14ac:dyDescent="0.25">
      <c r="B25" s="3" t="s">
        <v>322</v>
      </c>
      <c r="C25" s="17" t="s">
        <v>325</v>
      </c>
    </row>
    <row r="26" spans="2:3" x14ac:dyDescent="0.25">
      <c r="B26" s="3" t="s">
        <v>323</v>
      </c>
      <c r="C26" s="17" t="s">
        <v>326</v>
      </c>
    </row>
    <row r="27" spans="2:3" x14ac:dyDescent="0.25">
      <c r="B27" s="3" t="s">
        <v>318</v>
      </c>
      <c r="C27" s="17">
        <v>137.5</v>
      </c>
    </row>
    <row r="28" spans="2:3" x14ac:dyDescent="0.25">
      <c r="B28" s="3" t="s">
        <v>319</v>
      </c>
      <c r="C28" s="17">
        <v>137.5</v>
      </c>
    </row>
    <row r="29" spans="2:3" x14ac:dyDescent="0.25">
      <c r="B29" s="3" t="s">
        <v>320</v>
      </c>
      <c r="C29" s="17">
        <v>117.7</v>
      </c>
    </row>
    <row r="30" spans="2:3" x14ac:dyDescent="0.25">
      <c r="B30" s="3" t="s">
        <v>321</v>
      </c>
      <c r="C30" s="17">
        <v>143</v>
      </c>
    </row>
    <row r="31" spans="2:3" x14ac:dyDescent="0.25">
      <c r="B31" s="3" t="s">
        <v>145</v>
      </c>
      <c r="C31" s="17">
        <v>95</v>
      </c>
    </row>
    <row r="32" spans="2:3" ht="15.75" thickBot="1" x14ac:dyDescent="0.3">
      <c r="B32" s="7" t="s">
        <v>224</v>
      </c>
      <c r="C32" s="451">
        <v>30</v>
      </c>
    </row>
  </sheetData>
  <mergeCells count="1">
    <mergeCell ref="A1:S1"/>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V33"/>
  <sheetViews>
    <sheetView workbookViewId="0">
      <pane ySplit="1" topLeftCell="A2" activePane="bottomLeft" state="frozen"/>
      <selection pane="bottomLeft" activeCell="L26" sqref="L26"/>
    </sheetView>
  </sheetViews>
  <sheetFormatPr baseColWidth="10" defaultRowHeight="15" x14ac:dyDescent="0.25"/>
  <cols>
    <col min="2" max="2" width="21" bestFit="1" customWidth="1"/>
    <col min="3" max="3" width="14" bestFit="1" customWidth="1"/>
    <col min="4" max="4" width="11.28515625" bestFit="1" customWidth="1"/>
    <col min="5" max="6" width="13.140625" bestFit="1" customWidth="1"/>
    <col min="7" max="9" width="13.140625" style="10" customWidth="1"/>
    <col min="10" max="10" width="13.140625" bestFit="1" customWidth="1"/>
    <col min="11" max="11" width="12.28515625" bestFit="1" customWidth="1"/>
    <col min="13" max="13" width="14.28515625" customWidth="1"/>
    <col min="14" max="14" width="9.140625" style="10" bestFit="1" customWidth="1"/>
    <col min="15" max="15" width="39" bestFit="1" customWidth="1"/>
    <col min="17" max="18" width="11.42578125" style="10"/>
    <col min="20" max="20" width="29.28515625" bestFit="1" customWidth="1"/>
  </cols>
  <sheetData>
    <row r="1" spans="1:22" s="10" customFormat="1" ht="30" customHeight="1" thickBot="1" x14ac:dyDescent="0.3">
      <c r="A1" s="838" t="str">
        <f>Total!C8</f>
        <v>LEMANCEAU_COURT</v>
      </c>
      <c r="B1" s="838"/>
      <c r="C1" s="838"/>
      <c r="D1" s="838"/>
      <c r="E1" s="838"/>
      <c r="F1" s="838"/>
      <c r="G1" s="838"/>
      <c r="H1" s="838"/>
      <c r="I1" s="838"/>
      <c r="J1" s="838"/>
      <c r="K1" s="838"/>
      <c r="L1" s="838"/>
      <c r="M1" s="838"/>
      <c r="N1" s="838"/>
      <c r="O1" s="838"/>
      <c r="P1" s="838"/>
      <c r="Q1" s="838"/>
      <c r="R1" s="838"/>
      <c r="S1" s="838"/>
      <c r="T1" s="838"/>
      <c r="U1" s="838"/>
      <c r="V1" s="838"/>
    </row>
    <row r="2" spans="1:22" s="10" customFormat="1" ht="16.5" customHeight="1" x14ac:dyDescent="0.25">
      <c r="A2" s="167"/>
      <c r="B2" s="167"/>
      <c r="C2" s="778" t="s">
        <v>82</v>
      </c>
      <c r="D2" s="779"/>
      <c r="E2" s="779"/>
      <c r="F2" s="779"/>
      <c r="G2" s="779"/>
      <c r="H2" s="779"/>
      <c r="I2" s="779"/>
      <c r="J2" s="779"/>
      <c r="K2" s="779"/>
      <c r="L2" s="779"/>
      <c r="M2" s="779"/>
      <c r="N2" s="779"/>
      <c r="O2" s="779"/>
      <c r="P2" s="779"/>
      <c r="Q2" s="779"/>
      <c r="R2" s="780"/>
      <c r="S2" s="167"/>
      <c r="T2" s="167"/>
      <c r="U2" s="167"/>
      <c r="V2" s="167"/>
    </row>
    <row r="3" spans="1:22" ht="15.75" customHeight="1" thickBot="1" x14ac:dyDescent="0.3">
      <c r="C3" s="781"/>
      <c r="D3" s="782"/>
      <c r="E3" s="782"/>
      <c r="F3" s="782"/>
      <c r="G3" s="782"/>
      <c r="H3" s="782"/>
      <c r="I3" s="782"/>
      <c r="J3" s="782"/>
      <c r="K3" s="782"/>
      <c r="L3" s="782"/>
      <c r="M3" s="782"/>
      <c r="N3" s="782"/>
      <c r="O3" s="782"/>
      <c r="P3" s="782"/>
      <c r="Q3" s="782"/>
      <c r="R3" s="783"/>
    </row>
    <row r="4" spans="1:22" s="10" customFormat="1" ht="15.75" thickBot="1" x14ac:dyDescent="0.3">
      <c r="C4" s="854" t="s">
        <v>112</v>
      </c>
      <c r="D4" s="784"/>
      <c r="E4" s="784"/>
      <c r="F4" s="784"/>
      <c r="G4" s="784"/>
      <c r="H4" s="784"/>
      <c r="I4" s="784"/>
      <c r="J4" s="855"/>
      <c r="K4" s="785" t="s">
        <v>157</v>
      </c>
      <c r="L4" s="786"/>
      <c r="M4" s="786"/>
      <c r="N4" s="786"/>
      <c r="O4" s="786"/>
      <c r="P4" s="786"/>
      <c r="Q4" s="786"/>
      <c r="R4" s="787"/>
    </row>
    <row r="5" spans="1:22" s="10" customFormat="1" x14ac:dyDescent="0.25">
      <c r="C5" s="557" t="str">
        <f>Total!D4</f>
        <v>SEPM</v>
      </c>
      <c r="D5" s="57" t="str">
        <f>Total!E4</f>
        <v>BOP</v>
      </c>
      <c r="E5" s="57" t="str">
        <f>Total!F4</f>
        <v>PEU_DÉROULAGE</v>
      </c>
      <c r="F5" s="57" t="str">
        <f>Total!G4</f>
        <v>PET</v>
      </c>
      <c r="G5" s="57" t="str">
        <f>Total!H4</f>
        <v>-</v>
      </c>
      <c r="H5" s="57" t="str">
        <f>Total!I4</f>
        <v>-</v>
      </c>
      <c r="I5" s="57" t="str">
        <f>Total!J4</f>
        <v>-</v>
      </c>
      <c r="J5" s="565" t="str">
        <f>Total!K4</f>
        <v>-</v>
      </c>
      <c r="K5" s="557" t="str">
        <f>Total!L4</f>
        <v>SEPM</v>
      </c>
      <c r="L5" s="57" t="str">
        <f>Total!M4</f>
        <v>BOP</v>
      </c>
      <c r="M5" s="57" t="str">
        <f>Total!N4</f>
        <v>PEU_DÉROULAGE</v>
      </c>
      <c r="N5" s="57" t="str">
        <f>Total!O4</f>
        <v>PET</v>
      </c>
      <c r="O5" s="57" t="str">
        <f>Total!P4</f>
        <v>-</v>
      </c>
      <c r="P5" s="57" t="str">
        <f>Total!Q4</f>
        <v>-</v>
      </c>
      <c r="Q5" s="57" t="str">
        <f>Total!R4</f>
        <v>-</v>
      </c>
      <c r="R5" s="558" t="str">
        <f>Total!S4</f>
        <v>-</v>
      </c>
    </row>
    <row r="6" spans="1:22" s="10" customFormat="1" ht="15.75" thickBot="1" x14ac:dyDescent="0.3">
      <c r="C6" s="562">
        <f>Total!D5</f>
        <v>11000</v>
      </c>
      <c r="D6" s="563">
        <f>Total!E5</f>
        <v>2000</v>
      </c>
      <c r="E6" s="563">
        <f>Total!F5</f>
        <v>266</v>
      </c>
      <c r="F6" s="563">
        <f>Total!G5</f>
        <v>2500</v>
      </c>
      <c r="G6" s="563">
        <f>Total!H5</f>
        <v>0</v>
      </c>
      <c r="H6" s="563">
        <f>Total!I5</f>
        <v>0</v>
      </c>
      <c r="I6" s="563">
        <f>Total!J5</f>
        <v>0</v>
      </c>
      <c r="J6" s="566">
        <f>Total!K5</f>
        <v>0</v>
      </c>
      <c r="K6" s="562">
        <f>Total!L5</f>
        <v>11000</v>
      </c>
      <c r="L6" s="563">
        <f>Total!M5</f>
        <v>2000</v>
      </c>
      <c r="M6" s="563">
        <f>Total!N5</f>
        <v>266</v>
      </c>
      <c r="N6" s="563">
        <f>Total!O5</f>
        <v>2500</v>
      </c>
      <c r="O6" s="563">
        <f>Total!P5</f>
        <v>0</v>
      </c>
      <c r="P6" s="563">
        <f>Total!Q5</f>
        <v>0</v>
      </c>
      <c r="Q6" s="563">
        <f>Total!R5</f>
        <v>0</v>
      </c>
      <c r="R6" s="564">
        <f>Total!S5</f>
        <v>0</v>
      </c>
    </row>
    <row r="7" spans="1:22" ht="15.75" thickBot="1" x14ac:dyDescent="0.3">
      <c r="C7" s="851">
        <f>SUM(C6:J6)</f>
        <v>15766</v>
      </c>
      <c r="D7" s="852"/>
      <c r="E7" s="852"/>
      <c r="F7" s="852"/>
      <c r="G7" s="852"/>
      <c r="H7" s="852"/>
      <c r="I7" s="852"/>
      <c r="J7" s="853"/>
      <c r="K7" s="828">
        <f>SUM(K6:R6)</f>
        <v>15766</v>
      </c>
      <c r="L7" s="829"/>
      <c r="M7" s="829"/>
      <c r="N7" s="829"/>
      <c r="O7" s="829"/>
      <c r="P7" s="829"/>
      <c r="Q7" s="829"/>
      <c r="R7" s="830"/>
    </row>
    <row r="8" spans="1:22" ht="15.75" thickBot="1" x14ac:dyDescent="0.3">
      <c r="B8" s="838" t="s">
        <v>89</v>
      </c>
      <c r="C8" s="838"/>
      <c r="D8" s="838"/>
      <c r="E8" s="838"/>
      <c r="F8" s="838"/>
      <c r="G8" s="838"/>
      <c r="H8" s="838"/>
      <c r="I8" s="838"/>
      <c r="J8" s="838"/>
      <c r="K8" s="8"/>
      <c r="L8" s="8"/>
      <c r="N8"/>
      <c r="O8" s="10"/>
      <c r="P8" s="10"/>
      <c r="Q8"/>
      <c r="R8"/>
    </row>
    <row r="9" spans="1:22" ht="15.75" thickBot="1" x14ac:dyDescent="0.3">
      <c r="B9" s="838"/>
      <c r="C9" s="838"/>
      <c r="D9" s="838"/>
      <c r="E9" s="838"/>
      <c r="F9" s="838"/>
      <c r="G9" s="838"/>
      <c r="H9" s="838"/>
      <c r="I9" s="838"/>
      <c r="J9" s="838"/>
      <c r="O9" s="785" t="s">
        <v>29</v>
      </c>
      <c r="P9" s="786"/>
      <c r="Q9" s="786"/>
      <c r="R9" s="787"/>
      <c r="S9" s="1"/>
      <c r="T9" s="801" t="s">
        <v>5</v>
      </c>
      <c r="U9" s="802"/>
      <c r="V9" s="803"/>
    </row>
    <row r="10" spans="1:22" ht="15" customHeight="1" thickBot="1" x14ac:dyDescent="0.3">
      <c r="A10" s="39" t="s">
        <v>1</v>
      </c>
      <c r="B10" s="130" t="s">
        <v>3</v>
      </c>
      <c r="C10" s="613" t="str">
        <f>Total!D4</f>
        <v>SEPM</v>
      </c>
      <c r="D10" s="129" t="str">
        <f>Total!E4</f>
        <v>BOP</v>
      </c>
      <c r="E10" s="129" t="str">
        <f>Total!F4</f>
        <v>PEU_DÉROULAGE</v>
      </c>
      <c r="F10" s="129" t="str">
        <f>Total!G4</f>
        <v>PET</v>
      </c>
      <c r="G10" s="129" t="str">
        <f>Total!H4</f>
        <v>-</v>
      </c>
      <c r="H10" s="129" t="str">
        <f>Total!I4</f>
        <v>-</v>
      </c>
      <c r="I10" s="129" t="str">
        <f>Total!J4</f>
        <v>-</v>
      </c>
      <c r="J10" s="599" t="str">
        <f>Total!K4</f>
        <v>-</v>
      </c>
      <c r="O10" s="108"/>
      <c r="P10" s="64" t="s">
        <v>47</v>
      </c>
      <c r="Q10" s="57" t="s">
        <v>48</v>
      </c>
      <c r="R10" s="58" t="s">
        <v>95</v>
      </c>
      <c r="T10" s="108"/>
      <c r="U10" s="64" t="s">
        <v>47</v>
      </c>
      <c r="V10" s="58" t="s">
        <v>48</v>
      </c>
    </row>
    <row r="11" spans="1:22" ht="15.75" thickBot="1" x14ac:dyDescent="0.3">
      <c r="A11" s="795" t="s">
        <v>0</v>
      </c>
      <c r="B11" s="259" t="s">
        <v>0</v>
      </c>
      <c r="C11" s="119">
        <v>11.16</v>
      </c>
      <c r="D11" s="18">
        <v>9</v>
      </c>
      <c r="E11" s="18">
        <v>8.4</v>
      </c>
      <c r="F11" s="18">
        <v>8.4</v>
      </c>
      <c r="G11" s="427">
        <v>0</v>
      </c>
      <c r="H11" s="427">
        <v>0</v>
      </c>
      <c r="I11" s="427">
        <v>0</v>
      </c>
      <c r="J11" s="411">
        <v>0</v>
      </c>
      <c r="K11" t="s">
        <v>2</v>
      </c>
      <c r="L11" s="785" t="s">
        <v>99</v>
      </c>
      <c r="M11" s="787"/>
      <c r="N11" s="8"/>
      <c r="O11" s="24" t="s">
        <v>10</v>
      </c>
      <c r="P11" s="133">
        <v>18</v>
      </c>
      <c r="Q11" s="52">
        <v>32</v>
      </c>
      <c r="R11" s="89"/>
      <c r="T11" s="25" t="s">
        <v>13</v>
      </c>
      <c r="U11" s="133">
        <v>115</v>
      </c>
      <c r="V11" s="17">
        <v>115</v>
      </c>
    </row>
    <row r="12" spans="1:22" ht="15.75" thickBot="1" x14ac:dyDescent="0.3">
      <c r="A12" s="805"/>
      <c r="B12" s="178" t="s">
        <v>4</v>
      </c>
      <c r="C12" s="112">
        <f>IF(C6=0,0,IF($L$12=1,$P$20,0))</f>
        <v>0.48433048433048437</v>
      </c>
      <c r="D12" s="67">
        <f>IF(D6=0,0,IF($L$12=1,$P$20,0))</f>
        <v>0.48433048433048437</v>
      </c>
      <c r="E12" s="67">
        <f t="shared" ref="E12:I12" si="0">IF(E6=0,0,IF($L$12=1,$P$20,0))</f>
        <v>0.48433048433048437</v>
      </c>
      <c r="F12" s="67">
        <f t="shared" si="0"/>
        <v>0.48433048433048437</v>
      </c>
      <c r="G12" s="67">
        <f t="shared" si="0"/>
        <v>0</v>
      </c>
      <c r="H12" s="67">
        <f t="shared" si="0"/>
        <v>0</v>
      </c>
      <c r="I12" s="67">
        <f t="shared" si="0"/>
        <v>0</v>
      </c>
      <c r="J12" s="68">
        <f>IF(J6=0,0,IF($L$12=1,$P$20,0))</f>
        <v>0</v>
      </c>
      <c r="K12" t="s">
        <v>2</v>
      </c>
      <c r="L12" s="785">
        <v>1</v>
      </c>
      <c r="M12" s="787"/>
      <c r="N12" s="8"/>
      <c r="O12" s="25" t="s">
        <v>19</v>
      </c>
      <c r="P12" s="134">
        <v>0.78</v>
      </c>
      <c r="Q12" s="53">
        <v>0.78</v>
      </c>
      <c r="R12" s="90"/>
      <c r="T12" s="25" t="s">
        <v>14</v>
      </c>
      <c r="U12" s="133">
        <v>16.260000000000002</v>
      </c>
      <c r="V12" s="17">
        <v>0</v>
      </c>
    </row>
    <row r="13" spans="1:22" ht="15.75" thickBot="1" x14ac:dyDescent="0.3">
      <c r="A13" s="805"/>
      <c r="B13" s="178" t="s">
        <v>5</v>
      </c>
      <c r="C13" s="112">
        <f>IF(C6=0,0,$U$14)</f>
        <v>0.11860332360776354</v>
      </c>
      <c r="D13" s="67">
        <f t="shared" ref="D13:I13" si="1">IF(D6=0,0,$U$14)</f>
        <v>0.11860332360776354</v>
      </c>
      <c r="E13" s="67">
        <f t="shared" si="1"/>
        <v>0.11860332360776354</v>
      </c>
      <c r="F13" s="67">
        <f t="shared" si="1"/>
        <v>0.11860332360776354</v>
      </c>
      <c r="G13" s="67">
        <f t="shared" si="1"/>
        <v>0</v>
      </c>
      <c r="H13" s="67">
        <f t="shared" si="1"/>
        <v>0</v>
      </c>
      <c r="I13" s="67">
        <f t="shared" si="1"/>
        <v>0</v>
      </c>
      <c r="J13" s="68">
        <f>IF(J6=0,0,$U$14)</f>
        <v>0</v>
      </c>
      <c r="K13" t="s">
        <v>2</v>
      </c>
      <c r="O13" s="25" t="s">
        <v>15</v>
      </c>
      <c r="P13" s="109">
        <v>1</v>
      </c>
      <c r="Q13" s="12">
        <v>1</v>
      </c>
      <c r="R13" s="91"/>
      <c r="T13" s="166" t="s">
        <v>15</v>
      </c>
      <c r="U13" s="346">
        <f>P13</f>
        <v>1</v>
      </c>
      <c r="V13" s="96">
        <f>Q13</f>
        <v>1</v>
      </c>
    </row>
    <row r="14" spans="1:22" ht="15.75" thickBot="1" x14ac:dyDescent="0.3">
      <c r="A14" s="805"/>
      <c r="B14" s="168" t="s">
        <v>6</v>
      </c>
      <c r="C14" s="132">
        <v>0</v>
      </c>
      <c r="D14" s="12">
        <v>0</v>
      </c>
      <c r="E14" s="12">
        <v>0</v>
      </c>
      <c r="F14" s="12">
        <v>0</v>
      </c>
      <c r="G14" s="360">
        <v>0</v>
      </c>
      <c r="H14" s="360">
        <v>0</v>
      </c>
      <c r="I14" s="360">
        <v>0</v>
      </c>
      <c r="J14" s="37">
        <v>0</v>
      </c>
      <c r="K14" t="s">
        <v>2</v>
      </c>
      <c r="O14" s="25" t="s">
        <v>11</v>
      </c>
      <c r="P14" s="133">
        <v>50</v>
      </c>
      <c r="Q14" s="52">
        <v>90</v>
      </c>
      <c r="R14" s="89"/>
      <c r="T14" s="140" t="s">
        <v>20</v>
      </c>
      <c r="U14" s="141">
        <f>IF(C7=0,0,(U11*U12*U13)/C7)</f>
        <v>0.11860332360776354</v>
      </c>
      <c r="V14" s="141">
        <f>IF(K7=0,0,(V11*V12*V13)/K7)</f>
        <v>0</v>
      </c>
    </row>
    <row r="15" spans="1:22" ht="15.75" thickBot="1" x14ac:dyDescent="0.3">
      <c r="A15" s="805"/>
      <c r="B15" s="420" t="s">
        <v>222</v>
      </c>
      <c r="C15" s="112">
        <f>IF(C6=0,0,$P$26)</f>
        <v>8.5470085470085486E-2</v>
      </c>
      <c r="D15" s="67">
        <f t="shared" ref="D15:I15" si="2">IF(D6=0,0,$P$26)</f>
        <v>8.5470085470085486E-2</v>
      </c>
      <c r="E15" s="67">
        <f t="shared" si="2"/>
        <v>8.5470085470085486E-2</v>
      </c>
      <c r="F15" s="67">
        <f t="shared" si="2"/>
        <v>8.5470085470085486E-2</v>
      </c>
      <c r="G15" s="67">
        <f t="shared" si="2"/>
        <v>0</v>
      </c>
      <c r="H15" s="67">
        <f t="shared" si="2"/>
        <v>0</v>
      </c>
      <c r="I15" s="67">
        <f t="shared" si="2"/>
        <v>0</v>
      </c>
      <c r="J15" s="68">
        <f>IF(J6=0,0,$P$26)</f>
        <v>0</v>
      </c>
      <c r="K15" s="10" t="s">
        <v>2</v>
      </c>
      <c r="O15" s="137" t="s">
        <v>12</v>
      </c>
      <c r="P15" s="135">
        <f>((C7/P11)/P12)/P14/P13</f>
        <v>22.458689458689459</v>
      </c>
      <c r="Q15" s="75">
        <f>((K7/Q11)/Q12)/Q14/Q13</f>
        <v>7.0183404558404554</v>
      </c>
      <c r="R15" s="76">
        <f>Q15</f>
        <v>7.0183404558404554</v>
      </c>
    </row>
    <row r="16" spans="1:22" ht="15.75" thickBot="1" x14ac:dyDescent="0.3">
      <c r="A16" s="805"/>
      <c r="B16" s="260" t="s">
        <v>7</v>
      </c>
      <c r="C16" s="569">
        <v>0</v>
      </c>
      <c r="D16" s="549">
        <v>0</v>
      </c>
      <c r="E16" s="549">
        <v>0</v>
      </c>
      <c r="F16" s="549">
        <v>0</v>
      </c>
      <c r="G16" s="551">
        <v>0</v>
      </c>
      <c r="H16" s="551">
        <v>0</v>
      </c>
      <c r="I16" s="551">
        <v>0</v>
      </c>
      <c r="J16" s="146">
        <v>0</v>
      </c>
      <c r="K16" t="s">
        <v>2</v>
      </c>
      <c r="O16" s="126" t="s">
        <v>18</v>
      </c>
      <c r="P16" s="136">
        <v>4</v>
      </c>
      <c r="Q16" s="54">
        <v>4</v>
      </c>
      <c r="R16" s="36">
        <v>0</v>
      </c>
      <c r="T16" s="801" t="s">
        <v>22</v>
      </c>
      <c r="U16" s="802"/>
      <c r="V16" s="803"/>
    </row>
    <row r="17" spans="1:22" ht="15.75" thickBot="1" x14ac:dyDescent="0.3">
      <c r="A17" s="805"/>
      <c r="B17" s="191" t="s">
        <v>39</v>
      </c>
      <c r="C17" s="117">
        <f>IF(C6=0,0,SUM(C11:C16))</f>
        <v>11.848403893408333</v>
      </c>
      <c r="D17" s="83">
        <f t="shared" ref="D17:I17" si="3">IF(D6=0,0,SUM(D11:D16))</f>
        <v>9.6884038934083332</v>
      </c>
      <c r="E17" s="83">
        <f t="shared" si="3"/>
        <v>9.0884038934083335</v>
      </c>
      <c r="F17" s="83">
        <f t="shared" si="3"/>
        <v>9.0884038934083335</v>
      </c>
      <c r="G17" s="83">
        <f t="shared" si="3"/>
        <v>0</v>
      </c>
      <c r="H17" s="83">
        <f t="shared" si="3"/>
        <v>0</v>
      </c>
      <c r="I17" s="83">
        <f t="shared" si="3"/>
        <v>0</v>
      </c>
      <c r="J17" s="84">
        <f>IF(J6=0,0,SUM(J11:J16))</f>
        <v>0</v>
      </c>
      <c r="K17" s="10" t="s">
        <v>2</v>
      </c>
      <c r="O17" s="126" t="s">
        <v>9</v>
      </c>
      <c r="P17" s="136">
        <v>1</v>
      </c>
      <c r="Q17" s="54">
        <v>2</v>
      </c>
      <c r="R17" s="36">
        <v>0</v>
      </c>
      <c r="T17" s="108"/>
      <c r="U17" s="64" t="s">
        <v>47</v>
      </c>
      <c r="V17" s="58" t="s">
        <v>48</v>
      </c>
    </row>
    <row r="18" spans="1:22" ht="15.75" thickBot="1" x14ac:dyDescent="0.3">
      <c r="A18" s="805"/>
      <c r="B18" s="192" t="s">
        <v>154</v>
      </c>
      <c r="C18" s="86">
        <f>C17*$K$18</f>
        <v>0.82938827253858338</v>
      </c>
      <c r="D18" s="65">
        <f>D17*$K$18</f>
        <v>0.67818827253858338</v>
      </c>
      <c r="E18" s="65">
        <f>E17*$K$18</f>
        <v>0.63618827253858345</v>
      </c>
      <c r="F18" s="65">
        <f>F17*$K$18</f>
        <v>0.63618827253858345</v>
      </c>
      <c r="G18" s="65">
        <f t="shared" ref="G18:I18" si="4">G17*$K$18</f>
        <v>0</v>
      </c>
      <c r="H18" s="65">
        <f t="shared" si="4"/>
        <v>0</v>
      </c>
      <c r="I18" s="65">
        <f t="shared" si="4"/>
        <v>0</v>
      </c>
      <c r="J18" s="72">
        <f>J17*$K$18</f>
        <v>0</v>
      </c>
      <c r="K18" s="235">
        <f>Total!V35</f>
        <v>7.0000000000000007E-2</v>
      </c>
      <c r="O18" s="137" t="s">
        <v>16</v>
      </c>
      <c r="P18" s="135">
        <f>IF($L$12=1,(P15*P16*P17),0)</f>
        <v>89.834757834757838</v>
      </c>
      <c r="Q18" s="135">
        <f>IF($L$25=1,(Q15*Q16*Q17),0)</f>
        <v>56.146723646723643</v>
      </c>
      <c r="R18" s="135">
        <f>IF(L12=1,(R15*R16*R17),0)</f>
        <v>0</v>
      </c>
      <c r="T18" s="137" t="s">
        <v>20</v>
      </c>
      <c r="U18" s="135">
        <f>SUMPRODUCT(C14:J14,C6:J6)/C7</f>
        <v>0</v>
      </c>
      <c r="V18" s="76">
        <f>SUMPRODUCT(C28:J28,K6:R6)/K7</f>
        <v>0</v>
      </c>
    </row>
    <row r="19" spans="1:22" ht="15.75" thickBot="1" x14ac:dyDescent="0.3">
      <c r="A19" s="806"/>
      <c r="B19" s="194" t="s">
        <v>41</v>
      </c>
      <c r="C19" s="118">
        <f>C17+C18</f>
        <v>12.677792165946917</v>
      </c>
      <c r="D19" s="81">
        <f t="shared" ref="D19:J19" si="5">D17+D18</f>
        <v>10.366592165946917</v>
      </c>
      <c r="E19" s="81">
        <f t="shared" si="5"/>
        <v>9.7245921659469161</v>
      </c>
      <c r="F19" s="81">
        <f t="shared" si="5"/>
        <v>9.7245921659469161</v>
      </c>
      <c r="G19" s="81">
        <f t="shared" si="5"/>
        <v>0</v>
      </c>
      <c r="H19" s="81">
        <f t="shared" si="5"/>
        <v>0</v>
      </c>
      <c r="I19" s="81">
        <f t="shared" si="5"/>
        <v>0</v>
      </c>
      <c r="J19" s="87">
        <f t="shared" si="5"/>
        <v>0</v>
      </c>
      <c r="K19" s="10" t="s">
        <v>2</v>
      </c>
      <c r="O19" s="45" t="s">
        <v>17</v>
      </c>
      <c r="P19" s="138">
        <v>85</v>
      </c>
      <c r="Q19" s="61">
        <v>0</v>
      </c>
      <c r="R19" s="139">
        <v>0</v>
      </c>
      <c r="T19" s="45" t="s">
        <v>13</v>
      </c>
      <c r="U19" s="138">
        <v>170</v>
      </c>
      <c r="V19" s="139">
        <v>180</v>
      </c>
    </row>
    <row r="20" spans="1:22" ht="15.75" thickBot="1" x14ac:dyDescent="0.3">
      <c r="A20" s="59"/>
      <c r="B20" s="60"/>
      <c r="C20" s="62"/>
      <c r="D20" s="62"/>
      <c r="E20" s="62"/>
      <c r="F20" s="62"/>
      <c r="G20" s="62"/>
      <c r="H20" s="62"/>
      <c r="I20" s="62"/>
      <c r="J20" s="62"/>
      <c r="K20" s="10"/>
      <c r="O20" s="140" t="s">
        <v>20</v>
      </c>
      <c r="P20" s="141">
        <f>(P18*P19)/C7</f>
        <v>0.48433048433048437</v>
      </c>
      <c r="Q20" s="142">
        <f>IF($K$7=0,0,(Q18*Q19)/K7)</f>
        <v>0</v>
      </c>
      <c r="R20" s="142">
        <f>IF($K$7=0,0,(R18*R19)/K7)</f>
        <v>0</v>
      </c>
      <c r="T20" s="140" t="s">
        <v>23</v>
      </c>
      <c r="U20" s="141">
        <f>(U18*C7)/U19</f>
        <v>0</v>
      </c>
      <c r="V20" s="107">
        <f>(V18*K7)/V19</f>
        <v>0</v>
      </c>
    </row>
    <row r="21" spans="1:22" ht="15.75" thickBot="1" x14ac:dyDescent="0.3">
      <c r="A21" s="59"/>
      <c r="B21" s="850" t="s">
        <v>90</v>
      </c>
      <c r="C21" s="850"/>
      <c r="D21" s="850"/>
      <c r="E21" s="850"/>
      <c r="F21" s="850"/>
      <c r="G21" s="850"/>
      <c r="H21" s="850"/>
      <c r="I21" s="850"/>
      <c r="J21" s="850"/>
      <c r="K21" s="10"/>
    </row>
    <row r="22" spans="1:22" ht="15.75" thickBot="1" x14ac:dyDescent="0.3">
      <c r="B22" s="782"/>
      <c r="C22" s="782"/>
      <c r="D22" s="782"/>
      <c r="E22" s="782"/>
      <c r="F22" s="782"/>
      <c r="G22" s="782"/>
      <c r="H22" s="782"/>
      <c r="I22" s="782"/>
      <c r="J22" s="782"/>
      <c r="L22" s="10"/>
      <c r="M22" s="10"/>
      <c r="O22" s="785" t="s">
        <v>223</v>
      </c>
      <c r="P22" s="786"/>
      <c r="Q22" s="786"/>
      <c r="R22" s="787"/>
      <c r="T22" s="801" t="s">
        <v>7</v>
      </c>
      <c r="U22" s="802"/>
      <c r="V22" s="803"/>
    </row>
    <row r="23" spans="1:22" ht="15.75" thickBot="1" x14ac:dyDescent="0.3">
      <c r="A23" s="39" t="s">
        <v>1</v>
      </c>
      <c r="B23" s="130" t="s">
        <v>3</v>
      </c>
      <c r="C23" s="408" t="str">
        <f>Total!L4</f>
        <v>SEPM</v>
      </c>
      <c r="D23" s="409" t="str">
        <f>Total!M4</f>
        <v>BOP</v>
      </c>
      <c r="E23" s="409" t="str">
        <f>Total!N4</f>
        <v>PEU_DÉROULAGE</v>
      </c>
      <c r="F23" s="409" t="str">
        <f>Total!O4</f>
        <v>PET</v>
      </c>
      <c r="G23" s="409" t="str">
        <f>Total!P4</f>
        <v>-</v>
      </c>
      <c r="H23" s="409" t="str">
        <f>Total!Q4</f>
        <v>-</v>
      </c>
      <c r="I23" s="409" t="str">
        <f>Total!R4</f>
        <v>-</v>
      </c>
      <c r="J23" s="410" t="str">
        <f>Total!S4</f>
        <v>-</v>
      </c>
      <c r="K23" s="10"/>
      <c r="O23" s="394"/>
      <c r="P23" s="391" t="s">
        <v>88</v>
      </c>
      <c r="Q23" s="57" t="s">
        <v>48</v>
      </c>
      <c r="R23" s="392" t="s">
        <v>224</v>
      </c>
      <c r="T23" s="108"/>
      <c r="U23" s="64" t="s">
        <v>88</v>
      </c>
      <c r="V23" s="58" t="s">
        <v>48</v>
      </c>
    </row>
    <row r="24" spans="1:22" ht="15.75" thickBot="1" x14ac:dyDescent="0.3">
      <c r="A24" s="795" t="s">
        <v>0</v>
      </c>
      <c r="B24" s="259" t="s">
        <v>0</v>
      </c>
      <c r="C24" s="119">
        <v>5</v>
      </c>
      <c r="D24" s="18">
        <v>5</v>
      </c>
      <c r="E24" s="18">
        <v>5</v>
      </c>
      <c r="F24" s="18">
        <v>5</v>
      </c>
      <c r="G24" s="427">
        <v>0</v>
      </c>
      <c r="H24" s="427">
        <v>0</v>
      </c>
      <c r="I24" s="427">
        <v>0</v>
      </c>
      <c r="J24" s="411">
        <v>0</v>
      </c>
      <c r="K24" s="10" t="s">
        <v>2</v>
      </c>
      <c r="L24" s="785" t="s">
        <v>99</v>
      </c>
      <c r="M24" s="787"/>
      <c r="N24" s="8"/>
      <c r="O24" s="180" t="s">
        <v>226</v>
      </c>
      <c r="P24" s="362">
        <v>1000</v>
      </c>
      <c r="Q24" s="54">
        <v>1000</v>
      </c>
      <c r="R24" s="17">
        <v>1000</v>
      </c>
      <c r="T24" s="137" t="s">
        <v>20</v>
      </c>
      <c r="U24" s="135">
        <f>SUMPRODUCT(C16:J16,C6:J6)/C7</f>
        <v>0</v>
      </c>
      <c r="V24" s="76">
        <f>SUMPRODUCT(C29:J29,K6:R6)/K7</f>
        <v>0</v>
      </c>
    </row>
    <row r="25" spans="1:22" ht="15.75" thickBot="1" x14ac:dyDescent="0.3">
      <c r="A25" s="805"/>
      <c r="B25" s="178" t="s">
        <v>4</v>
      </c>
      <c r="C25" s="112">
        <f>IF(K6=0,0,IF($L$25=1,$Q$20,0)+IF(C33=1,$R$20,0))</f>
        <v>0</v>
      </c>
      <c r="D25" s="67">
        <f>IF(L6=0,0,IF($L$25=1,$Q$20,0)+IF(D33=1,$R$20,0))</f>
        <v>0</v>
      </c>
      <c r="E25" s="67">
        <f>IF(M6=0,0,IF($L$25=1,$Q$20,0)+IF(E33=1,$R$20,0))</f>
        <v>0</v>
      </c>
      <c r="F25" s="67">
        <f>IF(N6=0,0,IF($L$25=1,$Q$20,0)+IF(F33=1,$R$20,0))</f>
        <v>0</v>
      </c>
      <c r="G25" s="67">
        <f t="shared" ref="G25:I25" si="6">IF(O6=0,0,IF($L$25=1,$Q$20,0)+IF(G33=1,$R$20,0))</f>
        <v>0</v>
      </c>
      <c r="H25" s="67">
        <f t="shared" si="6"/>
        <v>0</v>
      </c>
      <c r="I25" s="67">
        <f t="shared" si="6"/>
        <v>0</v>
      </c>
      <c r="J25" s="68">
        <f>IF(R6=0,0,IF($L$25=1,$Q$20,0)+IF(J33=1,$R$20,0))</f>
        <v>0</v>
      </c>
      <c r="K25" s="10" t="s">
        <v>2</v>
      </c>
      <c r="L25" s="848">
        <v>1</v>
      </c>
      <c r="M25" s="849"/>
      <c r="N25" s="8"/>
      <c r="O25" s="295" t="s">
        <v>225</v>
      </c>
      <c r="P25" s="416">
        <v>0.06</v>
      </c>
      <c r="Q25" s="417">
        <v>0.06</v>
      </c>
      <c r="R25" s="234">
        <v>0.06</v>
      </c>
      <c r="T25" s="45" t="s">
        <v>13</v>
      </c>
      <c r="U25" s="138">
        <v>170</v>
      </c>
      <c r="V25" s="139">
        <v>190</v>
      </c>
    </row>
    <row r="26" spans="1:22" ht="15.75" thickBot="1" x14ac:dyDescent="0.3">
      <c r="A26" s="805"/>
      <c r="B26" s="178" t="s">
        <v>5</v>
      </c>
      <c r="C26" s="112">
        <f>IF(K6=0,0,$V$14)</f>
        <v>0</v>
      </c>
      <c r="D26" s="67">
        <f>IF(L6=0,0,$V$14)</f>
        <v>0</v>
      </c>
      <c r="E26" s="67">
        <f>IF(M6=0,0,$V$14)</f>
        <v>0</v>
      </c>
      <c r="F26" s="67">
        <f>IF(N6=0,0,$V$14)</f>
        <v>0</v>
      </c>
      <c r="G26" s="67">
        <f t="shared" ref="G26:I26" si="7">IF(O6=0,0,$V$14)</f>
        <v>0</v>
      </c>
      <c r="H26" s="67">
        <f t="shared" si="7"/>
        <v>0</v>
      </c>
      <c r="I26" s="67">
        <f t="shared" si="7"/>
        <v>0</v>
      </c>
      <c r="J26" s="68">
        <f>IF(R6=0,0,$V$14)</f>
        <v>0</v>
      </c>
      <c r="K26" s="10" t="s">
        <v>2</v>
      </c>
      <c r="O26" s="181" t="s">
        <v>20</v>
      </c>
      <c r="P26" s="414">
        <f>IF(C7=0,0,(P25*P24*P17*P15)/C7)</f>
        <v>8.5470085470085486E-2</v>
      </c>
      <c r="Q26" s="415">
        <f>IF($K$7=0,0,(Q25*Q24*Q17*Q15)/$K$7)</f>
        <v>5.3418803418803416E-2</v>
      </c>
      <c r="R26" s="415">
        <f>IF($K$7=0,0,(R25*R24*R17*R15)/$K$7)</f>
        <v>0</v>
      </c>
      <c r="T26" s="140" t="s">
        <v>23</v>
      </c>
      <c r="U26" s="144">
        <f>(U24*C7)/U25</f>
        <v>0</v>
      </c>
      <c r="V26" s="107">
        <f>(V24*K7)/V25</f>
        <v>0</v>
      </c>
    </row>
    <row r="27" spans="1:22" x14ac:dyDescent="0.25">
      <c r="A27" s="805"/>
      <c r="B27" s="178" t="s">
        <v>222</v>
      </c>
      <c r="C27" s="112">
        <f>IF(K6=0,0,($Q$26+IF(C33=1,$R$26,0)))</f>
        <v>5.3418803418803416E-2</v>
      </c>
      <c r="D27" s="67">
        <f>IF(L6=0,0,$Q$26+IF(D33=1,$R$26,0))</f>
        <v>5.3418803418803416E-2</v>
      </c>
      <c r="E27" s="67">
        <f>IF(M6=0,0,$Q$26+IF(E33=1,$R$26,0))</f>
        <v>5.3418803418803416E-2</v>
      </c>
      <c r="F27" s="67">
        <f>IF(N6=0,0,$Q$26+IF(F33=1,$R$26,0))</f>
        <v>5.3418803418803416E-2</v>
      </c>
      <c r="G27" s="67">
        <f t="shared" ref="G27:I27" si="8">IF(O6=0,0,$Q$26+IF(G33=1,$R$26,0))</f>
        <v>0</v>
      </c>
      <c r="H27" s="67">
        <f t="shared" si="8"/>
        <v>0</v>
      </c>
      <c r="I27" s="67">
        <f t="shared" si="8"/>
        <v>0</v>
      </c>
      <c r="J27" s="68">
        <f>IF(R6=0,0,$Q$26+IF(J33=1,$R$26,0))</f>
        <v>0</v>
      </c>
      <c r="K27" s="10" t="s">
        <v>2</v>
      </c>
    </row>
    <row r="28" spans="1:22" s="10" customFormat="1" x14ac:dyDescent="0.25">
      <c r="A28" s="805"/>
      <c r="B28" s="168" t="s">
        <v>6</v>
      </c>
      <c r="C28" s="115">
        <v>0</v>
      </c>
      <c r="D28" s="12">
        <v>0</v>
      </c>
      <c r="E28" s="12">
        <v>0</v>
      </c>
      <c r="F28" s="12">
        <v>0</v>
      </c>
      <c r="G28" s="360">
        <v>0</v>
      </c>
      <c r="H28" s="360">
        <v>0</v>
      </c>
      <c r="I28" s="360">
        <v>0</v>
      </c>
      <c r="J28" s="37">
        <v>0</v>
      </c>
      <c r="K28" s="10" t="s">
        <v>2</v>
      </c>
    </row>
    <row r="29" spans="1:22" ht="15.75" thickBot="1" x14ac:dyDescent="0.3">
      <c r="A29" s="805"/>
      <c r="B29" s="260" t="s">
        <v>7</v>
      </c>
      <c r="C29" s="116">
        <v>0</v>
      </c>
      <c r="D29" s="538">
        <v>0</v>
      </c>
      <c r="E29" s="538">
        <v>0</v>
      </c>
      <c r="F29" s="538">
        <v>0</v>
      </c>
      <c r="G29" s="551">
        <v>0</v>
      </c>
      <c r="H29" s="551">
        <v>0</v>
      </c>
      <c r="I29" s="551">
        <v>0</v>
      </c>
      <c r="J29" s="539">
        <v>0</v>
      </c>
      <c r="K29" s="10" t="s">
        <v>2</v>
      </c>
    </row>
    <row r="30" spans="1:22" ht="15.75" thickBot="1" x14ac:dyDescent="0.3">
      <c r="A30" s="805"/>
      <c r="B30" s="157" t="s">
        <v>39</v>
      </c>
      <c r="C30" s="117">
        <f>IF(K6=0,0,SUM(C24:C29))</f>
        <v>5.0534188034188032</v>
      </c>
      <c r="D30" s="82">
        <f>IF(L6=0,0,SUM(D24:D29))</f>
        <v>5.0534188034188032</v>
      </c>
      <c r="E30" s="82">
        <f>IF(M6=0,0,SUM(E24:E29))</f>
        <v>5.0534188034188032</v>
      </c>
      <c r="F30" s="82">
        <f>IF(N6=0,0,SUM(F24:F29))</f>
        <v>5.0534188034188032</v>
      </c>
      <c r="G30" s="82">
        <f t="shared" ref="G30:I30" si="9">IF(O6=0,0,SUM(G24:G29))</f>
        <v>0</v>
      </c>
      <c r="H30" s="82">
        <f t="shared" si="9"/>
        <v>0</v>
      </c>
      <c r="I30" s="82">
        <f t="shared" si="9"/>
        <v>0</v>
      </c>
      <c r="J30" s="570">
        <f>IF(R6=0,0,SUM(J24:J29))</f>
        <v>0</v>
      </c>
      <c r="K30" s="10" t="s">
        <v>2</v>
      </c>
    </row>
    <row r="31" spans="1:22" ht="15.75" thickBot="1" x14ac:dyDescent="0.3">
      <c r="A31" s="805"/>
      <c r="B31" s="193" t="s">
        <v>155</v>
      </c>
      <c r="C31" s="86">
        <f>C30*$K$31</f>
        <v>0.35373931623931626</v>
      </c>
      <c r="D31" s="74">
        <f t="shared" ref="D31:J31" si="10">D30*$K$31</f>
        <v>0.35373931623931626</v>
      </c>
      <c r="E31" s="74">
        <f t="shared" si="10"/>
        <v>0.35373931623931626</v>
      </c>
      <c r="F31" s="74">
        <f t="shared" si="10"/>
        <v>0.35373931623931626</v>
      </c>
      <c r="G31" s="74">
        <f t="shared" si="10"/>
        <v>0</v>
      </c>
      <c r="H31" s="74">
        <f t="shared" si="10"/>
        <v>0</v>
      </c>
      <c r="I31" s="74">
        <f t="shared" si="10"/>
        <v>0</v>
      </c>
      <c r="J31" s="229">
        <f t="shared" si="10"/>
        <v>0</v>
      </c>
      <c r="K31" s="231">
        <f>Total!V35</f>
        <v>7.0000000000000007E-2</v>
      </c>
    </row>
    <row r="32" spans="1:22" ht="15.75" thickBot="1" x14ac:dyDescent="0.3">
      <c r="A32" s="805"/>
      <c r="B32" s="194" t="s">
        <v>41</v>
      </c>
      <c r="C32" s="567">
        <f>C30+C31</f>
        <v>5.4071581196581198</v>
      </c>
      <c r="D32" s="568">
        <f t="shared" ref="D32:J32" si="11">D30+D31</f>
        <v>5.4071581196581198</v>
      </c>
      <c r="E32" s="568">
        <f t="shared" si="11"/>
        <v>5.4071581196581198</v>
      </c>
      <c r="F32" s="568">
        <f t="shared" si="11"/>
        <v>5.4071581196581198</v>
      </c>
      <c r="G32" s="568">
        <f t="shared" si="11"/>
        <v>0</v>
      </c>
      <c r="H32" s="568">
        <f t="shared" si="11"/>
        <v>0</v>
      </c>
      <c r="I32" s="568">
        <f t="shared" si="11"/>
        <v>0</v>
      </c>
      <c r="J32" s="568">
        <f t="shared" si="11"/>
        <v>0</v>
      </c>
      <c r="K32" s="10" t="s">
        <v>2</v>
      </c>
    </row>
    <row r="33" spans="1:10" ht="15.75" thickBot="1" x14ac:dyDescent="0.3">
      <c r="A33" s="806"/>
      <c r="B33" s="219" t="s">
        <v>327</v>
      </c>
      <c r="C33" s="256">
        <v>0</v>
      </c>
      <c r="D33" s="257">
        <v>0</v>
      </c>
      <c r="E33" s="257">
        <v>0</v>
      </c>
      <c r="F33" s="257">
        <v>0</v>
      </c>
      <c r="G33" s="608">
        <v>0</v>
      </c>
      <c r="H33" s="608">
        <v>0</v>
      </c>
      <c r="I33" s="608">
        <v>0</v>
      </c>
      <c r="J33" s="258">
        <v>0</v>
      </c>
    </row>
  </sheetData>
  <mergeCells count="19">
    <mergeCell ref="C7:J7"/>
    <mergeCell ref="O22:R22"/>
    <mergeCell ref="A1:V1"/>
    <mergeCell ref="T9:V9"/>
    <mergeCell ref="T16:V16"/>
    <mergeCell ref="T22:V22"/>
    <mergeCell ref="O9:R9"/>
    <mergeCell ref="B8:J9"/>
    <mergeCell ref="C4:J4"/>
    <mergeCell ref="C2:R3"/>
    <mergeCell ref="K4:R4"/>
    <mergeCell ref="K7:R7"/>
    <mergeCell ref="A24:A33"/>
    <mergeCell ref="L12:M12"/>
    <mergeCell ref="L11:M11"/>
    <mergeCell ref="L25:M25"/>
    <mergeCell ref="L24:M24"/>
    <mergeCell ref="B21:J22"/>
    <mergeCell ref="A11:A19"/>
  </mergeCells>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32"/>
  <sheetViews>
    <sheetView workbookViewId="0">
      <pane ySplit="1" topLeftCell="A2" activePane="bottomLeft" state="frozen"/>
      <selection pane="bottomLeft" activeCell="L26" sqref="L26"/>
    </sheetView>
  </sheetViews>
  <sheetFormatPr baseColWidth="10" defaultRowHeight="15" x14ac:dyDescent="0.25"/>
  <cols>
    <col min="1" max="1" width="11.42578125" style="10"/>
    <col min="2" max="2" width="17.85546875" style="10" bestFit="1" customWidth="1"/>
    <col min="3" max="3" width="14" style="10" bestFit="1" customWidth="1"/>
    <col min="4" max="4" width="11.28515625" style="10" bestFit="1" customWidth="1"/>
    <col min="5" max="6" width="13.140625" style="10" bestFit="1" customWidth="1"/>
    <col min="7" max="9" width="13.140625" style="10" customWidth="1"/>
    <col min="10" max="10" width="13.140625" style="10" bestFit="1" customWidth="1"/>
    <col min="11" max="11" width="12.28515625" style="10" bestFit="1" customWidth="1"/>
    <col min="12" max="12" width="13.5703125" style="10" customWidth="1"/>
    <col min="13" max="13" width="12.28515625" style="10" customWidth="1"/>
    <col min="14" max="14" width="9.140625" style="10" bestFit="1" customWidth="1"/>
    <col min="15" max="15" width="39" style="10" bestFit="1" customWidth="1"/>
    <col min="16" max="18" width="11.42578125" style="10"/>
    <col min="19" max="19" width="29.28515625" style="10" bestFit="1" customWidth="1"/>
    <col min="20" max="16384" width="11.42578125" style="10"/>
  </cols>
  <sheetData>
    <row r="1" spans="1:24" ht="36.75" customHeight="1" thickBot="1" x14ac:dyDescent="0.3">
      <c r="A1" s="838" t="str">
        <f>Total!C8</f>
        <v>LEMANCEAU_COURT</v>
      </c>
      <c r="B1" s="838"/>
      <c r="C1" s="838"/>
      <c r="D1" s="838"/>
      <c r="E1" s="838"/>
      <c r="F1" s="838"/>
      <c r="G1" s="838"/>
      <c r="H1" s="838"/>
      <c r="I1" s="838"/>
      <c r="J1" s="838"/>
      <c r="K1" s="838"/>
      <c r="L1" s="838"/>
      <c r="M1" s="838"/>
      <c r="N1" s="838"/>
      <c r="O1" s="838"/>
      <c r="P1" s="838"/>
      <c r="Q1" s="838"/>
      <c r="R1" s="838"/>
      <c r="S1" s="838"/>
      <c r="T1" s="838"/>
      <c r="U1" s="838"/>
    </row>
    <row r="2" spans="1:24" ht="18.75" customHeight="1" x14ac:dyDescent="0.25">
      <c r="A2" s="535"/>
      <c r="B2" s="535"/>
      <c r="C2" s="778" t="s">
        <v>82</v>
      </c>
      <c r="D2" s="779"/>
      <c r="E2" s="779"/>
      <c r="F2" s="779"/>
      <c r="G2" s="779"/>
      <c r="H2" s="779"/>
      <c r="I2" s="779"/>
      <c r="J2" s="779"/>
      <c r="K2" s="779"/>
      <c r="L2" s="779"/>
      <c r="M2" s="779"/>
      <c r="N2" s="779"/>
      <c r="O2" s="779"/>
      <c r="P2" s="779"/>
      <c r="Q2" s="779"/>
      <c r="R2" s="780"/>
      <c r="S2" s="535"/>
      <c r="T2" s="535"/>
      <c r="U2" s="535"/>
    </row>
    <row r="3" spans="1:24" ht="13.5" customHeight="1" thickBot="1" x14ac:dyDescent="0.3">
      <c r="A3" s="535"/>
      <c r="B3" s="535"/>
      <c r="C3" s="781"/>
      <c r="D3" s="782"/>
      <c r="E3" s="782"/>
      <c r="F3" s="782"/>
      <c r="G3" s="782"/>
      <c r="H3" s="782"/>
      <c r="I3" s="782"/>
      <c r="J3" s="782"/>
      <c r="K3" s="850"/>
      <c r="L3" s="850"/>
      <c r="M3" s="850"/>
      <c r="N3" s="850"/>
      <c r="O3" s="850"/>
      <c r="P3" s="850"/>
      <c r="Q3" s="850"/>
      <c r="R3" s="857"/>
      <c r="S3" s="535"/>
      <c r="T3" s="535"/>
      <c r="U3" s="535"/>
    </row>
    <row r="4" spans="1:24" ht="15" customHeight="1" thickBot="1" x14ac:dyDescent="0.3">
      <c r="A4" s="535"/>
      <c r="B4" s="535"/>
      <c r="C4" s="792" t="s">
        <v>112</v>
      </c>
      <c r="D4" s="856"/>
      <c r="E4" s="856"/>
      <c r="F4" s="856"/>
      <c r="G4" s="856"/>
      <c r="H4" s="856"/>
      <c r="I4" s="856"/>
      <c r="J4" s="856"/>
      <c r="K4" s="801" t="s">
        <v>157</v>
      </c>
      <c r="L4" s="802"/>
      <c r="M4" s="802"/>
      <c r="N4" s="802"/>
      <c r="O4" s="802"/>
      <c r="P4" s="802"/>
      <c r="Q4" s="802"/>
      <c r="R4" s="803"/>
      <c r="S4" s="535"/>
      <c r="T4" s="535"/>
      <c r="U4" s="535"/>
    </row>
    <row r="5" spans="1:24" ht="15" customHeight="1" thickBot="1" x14ac:dyDescent="0.3">
      <c r="A5" s="167"/>
      <c r="B5" s="167"/>
      <c r="C5" s="559" t="str">
        <f>Total!D4</f>
        <v>SEPM</v>
      </c>
      <c r="D5" s="559" t="str">
        <f>Total!E4</f>
        <v>BOP</v>
      </c>
      <c r="E5" s="559" t="str">
        <f>Total!F4</f>
        <v>PEU_DÉROULAGE</v>
      </c>
      <c r="F5" s="559" t="str">
        <f>Total!G4</f>
        <v>PET</v>
      </c>
      <c r="G5" s="602" t="str">
        <f>Total!H4</f>
        <v>-</v>
      </c>
      <c r="H5" s="602" t="str">
        <f>Total!I4</f>
        <v>-</v>
      </c>
      <c r="I5" s="602" t="str">
        <f>Total!J4</f>
        <v>-</v>
      </c>
      <c r="J5" s="559" t="str">
        <f>Total!K4</f>
        <v>-</v>
      </c>
      <c r="K5" s="317" t="str">
        <f>Total!L4</f>
        <v>SEPM</v>
      </c>
      <c r="L5" s="317" t="str">
        <f>Total!M4</f>
        <v>BOP</v>
      </c>
      <c r="M5" s="317" t="str">
        <f>Total!N4</f>
        <v>PEU_DÉROULAGE</v>
      </c>
      <c r="N5" s="317" t="str">
        <f>Total!O4</f>
        <v>PET</v>
      </c>
      <c r="O5" s="317" t="str">
        <f>Total!P4</f>
        <v>-</v>
      </c>
      <c r="P5" s="317" t="str">
        <f>Total!Q4</f>
        <v>-</v>
      </c>
      <c r="Q5" s="317" t="str">
        <f>Total!R4</f>
        <v>-</v>
      </c>
      <c r="R5" s="600" t="str">
        <f>Total!S4</f>
        <v>-</v>
      </c>
      <c r="S5" s="167"/>
      <c r="T5" s="167"/>
      <c r="U5" s="167"/>
      <c r="V5" s="167"/>
      <c r="W5" s="167"/>
      <c r="X5" s="167"/>
    </row>
    <row r="6" spans="1:24" ht="15.75" thickBot="1" x14ac:dyDescent="0.3">
      <c r="C6" s="552">
        <f>Total!D5</f>
        <v>11000</v>
      </c>
      <c r="D6" s="552">
        <f>Total!E5</f>
        <v>2000</v>
      </c>
      <c r="E6" s="552">
        <f>Total!F5</f>
        <v>266</v>
      </c>
      <c r="F6" s="552">
        <f>Total!G5</f>
        <v>2500</v>
      </c>
      <c r="G6" s="552">
        <f>Total!H5</f>
        <v>0</v>
      </c>
      <c r="H6" s="552">
        <f>Total!I5</f>
        <v>0</v>
      </c>
      <c r="I6" s="552">
        <f>Total!J5</f>
        <v>0</v>
      </c>
      <c r="J6" s="552">
        <f>Total!K5</f>
        <v>0</v>
      </c>
      <c r="K6" s="552">
        <f>Total!L5</f>
        <v>11000</v>
      </c>
      <c r="L6" s="552">
        <f>Total!M5</f>
        <v>2000</v>
      </c>
      <c r="M6" s="552">
        <f>Total!N5</f>
        <v>266</v>
      </c>
      <c r="N6" s="552">
        <f>Total!O5</f>
        <v>2500</v>
      </c>
      <c r="O6" s="552">
        <f>Total!P5</f>
        <v>0</v>
      </c>
      <c r="P6" s="552">
        <f>Total!Q5</f>
        <v>0</v>
      </c>
      <c r="Q6" s="552">
        <f>Total!R5</f>
        <v>0</v>
      </c>
      <c r="R6" s="556">
        <f>Total!S5</f>
        <v>0</v>
      </c>
    </row>
    <row r="7" spans="1:24" ht="15.75" thickBot="1" x14ac:dyDescent="0.3">
      <c r="C7" s="828">
        <f>SUM(C6:J6)</f>
        <v>15766</v>
      </c>
      <c r="D7" s="829"/>
      <c r="E7" s="829"/>
      <c r="F7" s="829"/>
      <c r="G7" s="829"/>
      <c r="H7" s="829"/>
      <c r="I7" s="829"/>
      <c r="J7" s="830"/>
      <c r="K7" s="828">
        <f>SUM(K6:R6)</f>
        <v>15766</v>
      </c>
      <c r="L7" s="829"/>
      <c r="M7" s="829"/>
      <c r="N7" s="829"/>
      <c r="O7" s="829"/>
      <c r="P7" s="829"/>
      <c r="Q7" s="829"/>
      <c r="R7" s="830"/>
    </row>
    <row r="8" spans="1:24" ht="15.75" thickBot="1" x14ac:dyDescent="0.3">
      <c r="B8" s="838" t="s">
        <v>89</v>
      </c>
      <c r="C8" s="838"/>
      <c r="D8" s="838"/>
      <c r="E8" s="838"/>
      <c r="F8" s="838"/>
      <c r="G8" s="838"/>
      <c r="H8" s="838"/>
      <c r="I8" s="838"/>
      <c r="J8" s="838"/>
      <c r="K8" s="8"/>
      <c r="L8" s="8"/>
    </row>
    <row r="9" spans="1:24" ht="15.75" thickBot="1" x14ac:dyDescent="0.3">
      <c r="B9" s="838"/>
      <c r="C9" s="838"/>
      <c r="D9" s="838"/>
      <c r="E9" s="838"/>
      <c r="F9" s="838"/>
      <c r="G9" s="838"/>
      <c r="H9" s="838"/>
      <c r="I9" s="838"/>
      <c r="J9" s="838"/>
      <c r="O9" s="801" t="s">
        <v>29</v>
      </c>
      <c r="P9" s="802"/>
      <c r="Q9" s="803"/>
      <c r="R9" s="1"/>
      <c r="S9" s="785" t="s">
        <v>30</v>
      </c>
      <c r="T9" s="786"/>
      <c r="U9" s="787"/>
    </row>
    <row r="10" spans="1:24" ht="15" customHeight="1" thickBot="1" x14ac:dyDescent="0.3">
      <c r="A10" s="39" t="s">
        <v>1</v>
      </c>
      <c r="B10" s="130" t="s">
        <v>3</v>
      </c>
      <c r="C10" s="408" t="str">
        <f>Total!D4</f>
        <v>SEPM</v>
      </c>
      <c r="D10" s="409" t="str">
        <f>Total!E4</f>
        <v>BOP</v>
      </c>
      <c r="E10" s="409" t="str">
        <f>Total!F4</f>
        <v>PEU_DÉROULAGE</v>
      </c>
      <c r="F10" s="409" t="str">
        <f>Total!G4</f>
        <v>PET</v>
      </c>
      <c r="G10" s="409" t="str">
        <f>Total!H4</f>
        <v>-</v>
      </c>
      <c r="H10" s="409" t="str">
        <f>Total!I4</f>
        <v>-</v>
      </c>
      <c r="I10" s="409" t="str">
        <f>Total!J4</f>
        <v>-</v>
      </c>
      <c r="J10" s="410" t="str">
        <f>Total!K4</f>
        <v>-</v>
      </c>
      <c r="O10" s="108"/>
      <c r="P10" s="64" t="s">
        <v>47</v>
      </c>
      <c r="Q10" s="58" t="s">
        <v>48</v>
      </c>
      <c r="S10" s="108"/>
      <c r="T10" s="64" t="s">
        <v>47</v>
      </c>
      <c r="U10" s="58" t="s">
        <v>48</v>
      </c>
    </row>
    <row r="11" spans="1:24" ht="15.75" thickBot="1" x14ac:dyDescent="0.3">
      <c r="A11" s="795" t="s">
        <v>24</v>
      </c>
      <c r="B11" s="423" t="s">
        <v>24</v>
      </c>
      <c r="C11" s="119">
        <v>7.44</v>
      </c>
      <c r="D11" s="18">
        <v>6</v>
      </c>
      <c r="E11" s="18">
        <v>5.6</v>
      </c>
      <c r="F11" s="18">
        <v>5.6</v>
      </c>
      <c r="G11" s="427">
        <v>0</v>
      </c>
      <c r="H11" s="427">
        <v>0</v>
      </c>
      <c r="I11" s="427">
        <v>0</v>
      </c>
      <c r="J11" s="19">
        <v>0</v>
      </c>
      <c r="K11" s="10" t="s">
        <v>2</v>
      </c>
      <c r="L11" s="785" t="s">
        <v>99</v>
      </c>
      <c r="M11" s="787"/>
      <c r="N11" s="8"/>
      <c r="O11" s="24" t="s">
        <v>10</v>
      </c>
      <c r="P11" s="109">
        <v>22.2</v>
      </c>
      <c r="Q11" s="37">
        <v>24</v>
      </c>
      <c r="S11" s="25" t="s">
        <v>13</v>
      </c>
      <c r="T11" s="133">
        <v>115</v>
      </c>
      <c r="U11" s="17">
        <v>115</v>
      </c>
    </row>
    <row r="12" spans="1:24" ht="15.75" thickBot="1" x14ac:dyDescent="0.3">
      <c r="A12" s="805"/>
      <c r="B12" s="178" t="s">
        <v>4</v>
      </c>
      <c r="C12" s="112">
        <f>IF(C6=0,0,IF($L$12=1,$P$20,0))</f>
        <v>0.3927003927003927</v>
      </c>
      <c r="D12" s="67">
        <f>IF(D6=0,0,IF($L$12=1,$P$20,0))</f>
        <v>0.3927003927003927</v>
      </c>
      <c r="E12" s="67">
        <f>IF(E6=0,0,IF($L$12=1,$P$20,0))</f>
        <v>0.3927003927003927</v>
      </c>
      <c r="F12" s="67">
        <f>IF(F6=0,0,IF($L$12=1,$P$20,0))</f>
        <v>0.3927003927003927</v>
      </c>
      <c r="G12" s="67">
        <f t="shared" ref="G12:I12" si="0">IF(G6=0,0,IF($L$12=1,$P$20,0))</f>
        <v>0</v>
      </c>
      <c r="H12" s="67">
        <f t="shared" si="0"/>
        <v>0</v>
      </c>
      <c r="I12" s="67">
        <f t="shared" si="0"/>
        <v>0</v>
      </c>
      <c r="J12" s="68">
        <f>IF(J6=0,0,IF($L$12=1,$P$20,0))</f>
        <v>0</v>
      </c>
      <c r="K12" s="10" t="s">
        <v>2</v>
      </c>
      <c r="L12" s="785">
        <v>1</v>
      </c>
      <c r="M12" s="787"/>
      <c r="N12" s="8"/>
      <c r="O12" s="25" t="s">
        <v>19</v>
      </c>
      <c r="P12" s="128">
        <v>0.78</v>
      </c>
      <c r="Q12" s="40">
        <v>0.78</v>
      </c>
      <c r="S12" s="25" t="s">
        <v>14</v>
      </c>
      <c r="T12" s="133">
        <v>16.260000000000002</v>
      </c>
      <c r="U12" s="17">
        <v>0</v>
      </c>
    </row>
    <row r="13" spans="1:24" ht="15.75" thickBot="1" x14ac:dyDescent="0.3">
      <c r="A13" s="805"/>
      <c r="B13" s="178" t="s">
        <v>5</v>
      </c>
      <c r="C13" s="112">
        <f>IF(C6=0,0,$T$14)</f>
        <v>0.11860332360776354</v>
      </c>
      <c r="D13" s="67">
        <f>IF(D6=0,0,$T$14)</f>
        <v>0.11860332360776354</v>
      </c>
      <c r="E13" s="67">
        <f>IF(E6=0,0,$T$14)</f>
        <v>0.11860332360776354</v>
      </c>
      <c r="F13" s="67">
        <f t="shared" ref="F13:J13" si="1">IF(F6=0,0,$T$14)</f>
        <v>0.11860332360776354</v>
      </c>
      <c r="G13" s="67">
        <f t="shared" si="1"/>
        <v>0</v>
      </c>
      <c r="H13" s="67">
        <f t="shared" si="1"/>
        <v>0</v>
      </c>
      <c r="I13" s="67">
        <f t="shared" si="1"/>
        <v>0</v>
      </c>
      <c r="J13" s="67">
        <f t="shared" si="1"/>
        <v>0</v>
      </c>
      <c r="K13" s="10" t="s">
        <v>2</v>
      </c>
      <c r="O13" s="25" t="s">
        <v>15</v>
      </c>
      <c r="P13" s="109">
        <v>1</v>
      </c>
      <c r="Q13" s="37">
        <v>1</v>
      </c>
      <c r="S13" s="166" t="s">
        <v>15</v>
      </c>
      <c r="T13" s="346">
        <f>P13</f>
        <v>1</v>
      </c>
      <c r="U13" s="96">
        <f>Q13</f>
        <v>1</v>
      </c>
    </row>
    <row r="14" spans="1:24" ht="15.75" thickBot="1" x14ac:dyDescent="0.3">
      <c r="A14" s="805"/>
      <c r="B14" s="168" t="s">
        <v>6</v>
      </c>
      <c r="C14" s="115">
        <v>0</v>
      </c>
      <c r="D14" s="12">
        <v>0</v>
      </c>
      <c r="E14" s="12">
        <v>0</v>
      </c>
      <c r="F14" s="12">
        <v>0</v>
      </c>
      <c r="G14" s="360">
        <v>0</v>
      </c>
      <c r="H14" s="360">
        <v>0</v>
      </c>
      <c r="I14" s="360">
        <v>0</v>
      </c>
      <c r="J14" s="37">
        <v>0</v>
      </c>
      <c r="K14" s="10" t="s">
        <v>2</v>
      </c>
      <c r="O14" s="25" t="s">
        <v>11</v>
      </c>
      <c r="P14" s="109">
        <v>50</v>
      </c>
      <c r="Q14" s="37">
        <v>90</v>
      </c>
      <c r="S14" s="140" t="s">
        <v>20</v>
      </c>
      <c r="T14" s="141">
        <f>IF(C7=0,0,(T11*T12*T13)/C7)</f>
        <v>0.11860332360776354</v>
      </c>
      <c r="U14" s="107">
        <f>IF(K7=0,0,(U11*U12*U13)/K7)</f>
        <v>0</v>
      </c>
    </row>
    <row r="15" spans="1:24" ht="15.75" thickBot="1" x14ac:dyDescent="0.3">
      <c r="A15" s="805"/>
      <c r="B15" s="420" t="s">
        <v>227</v>
      </c>
      <c r="C15" s="112">
        <f>IF(C6=0,0,$P$26)</f>
        <v>6.9300069300069295E-2</v>
      </c>
      <c r="D15" s="67">
        <f>IF(D6=0,0,$P$26)</f>
        <v>6.9300069300069295E-2</v>
      </c>
      <c r="E15" s="67">
        <f>IF(E6=0,0,$P$26)</f>
        <v>6.9300069300069295E-2</v>
      </c>
      <c r="F15" s="67">
        <f t="shared" ref="F15:J15" si="2">IF(F6=0,0,$P$26)</f>
        <v>6.9300069300069295E-2</v>
      </c>
      <c r="G15" s="67">
        <f t="shared" si="2"/>
        <v>0</v>
      </c>
      <c r="H15" s="67">
        <f t="shared" si="2"/>
        <v>0</v>
      </c>
      <c r="I15" s="67">
        <f t="shared" si="2"/>
        <v>0</v>
      </c>
      <c r="J15" s="67">
        <f t="shared" si="2"/>
        <v>0</v>
      </c>
      <c r="K15" s="10" t="s">
        <v>2</v>
      </c>
      <c r="O15" s="137" t="s">
        <v>12</v>
      </c>
      <c r="P15" s="66">
        <f>((C7/P11)/P12)/P14/P13</f>
        <v>18.209748209748209</v>
      </c>
      <c r="Q15" s="68">
        <f>((K7/Q11)/Q12)/Q14/Q13</f>
        <v>9.3577872744539405</v>
      </c>
    </row>
    <row r="16" spans="1:24" ht="15.75" thickBot="1" x14ac:dyDescent="0.3">
      <c r="A16" s="805"/>
      <c r="B16" s="260" t="s">
        <v>7</v>
      </c>
      <c r="C16" s="569">
        <v>0</v>
      </c>
      <c r="D16" s="549">
        <v>0</v>
      </c>
      <c r="E16" s="549">
        <v>0</v>
      </c>
      <c r="F16" s="549">
        <v>0</v>
      </c>
      <c r="G16" s="551">
        <v>0</v>
      </c>
      <c r="H16" s="551">
        <v>0</v>
      </c>
      <c r="I16" s="551">
        <v>0</v>
      </c>
      <c r="J16" s="146">
        <v>0</v>
      </c>
      <c r="K16" s="10" t="s">
        <v>2</v>
      </c>
      <c r="O16" s="126" t="s">
        <v>18</v>
      </c>
      <c r="P16" s="109">
        <v>4</v>
      </c>
      <c r="Q16" s="37">
        <v>4</v>
      </c>
      <c r="S16" s="785" t="s">
        <v>22</v>
      </c>
      <c r="T16" s="786"/>
      <c r="U16" s="787"/>
    </row>
    <row r="17" spans="1:21" ht="15.75" thickBot="1" x14ac:dyDescent="0.3">
      <c r="A17" s="805"/>
      <c r="B17" s="191" t="s">
        <v>42</v>
      </c>
      <c r="C17" s="85">
        <f>IF(C6=0,0,SUM(C11:C16))</f>
        <v>8.0206037856082268</v>
      </c>
      <c r="D17" s="70">
        <f t="shared" ref="D17:J17" si="3">IF(D6=0,0,SUM(D11:D16))</f>
        <v>6.5806037856082256</v>
      </c>
      <c r="E17" s="70">
        <f t="shared" si="3"/>
        <v>6.1806037856082252</v>
      </c>
      <c r="F17" s="70">
        <f t="shared" si="3"/>
        <v>6.1806037856082252</v>
      </c>
      <c r="G17" s="70">
        <f t="shared" si="3"/>
        <v>0</v>
      </c>
      <c r="H17" s="70">
        <f t="shared" si="3"/>
        <v>0</v>
      </c>
      <c r="I17" s="70">
        <f t="shared" si="3"/>
        <v>0</v>
      </c>
      <c r="J17" s="70">
        <f t="shared" si="3"/>
        <v>0</v>
      </c>
      <c r="K17" s="10" t="s">
        <v>2</v>
      </c>
      <c r="O17" s="126" t="s">
        <v>9</v>
      </c>
      <c r="P17" s="109">
        <v>1</v>
      </c>
      <c r="Q17" s="37">
        <v>2</v>
      </c>
      <c r="S17" s="108"/>
      <c r="T17" s="64" t="s">
        <v>47</v>
      </c>
      <c r="U17" s="58" t="s">
        <v>48</v>
      </c>
    </row>
    <row r="18" spans="1:21" ht="15.75" thickBot="1" x14ac:dyDescent="0.3">
      <c r="A18" s="805"/>
      <c r="B18" s="192" t="s">
        <v>155</v>
      </c>
      <c r="C18" s="86">
        <f>C17*$K$18</f>
        <v>0.56144226499257588</v>
      </c>
      <c r="D18" s="65">
        <f>D17*$K$18</f>
        <v>0.46064226499257582</v>
      </c>
      <c r="E18" s="65">
        <f t="shared" ref="E18:J18" si="4">E17*$K$18</f>
        <v>0.4326422649925758</v>
      </c>
      <c r="F18" s="65">
        <f t="shared" si="4"/>
        <v>0.4326422649925758</v>
      </c>
      <c r="G18" s="65">
        <f t="shared" si="4"/>
        <v>0</v>
      </c>
      <c r="H18" s="65">
        <f t="shared" si="4"/>
        <v>0</v>
      </c>
      <c r="I18" s="65">
        <f t="shared" si="4"/>
        <v>0</v>
      </c>
      <c r="J18" s="65">
        <f t="shared" si="4"/>
        <v>0</v>
      </c>
      <c r="K18" s="231">
        <f>Total!V35</f>
        <v>7.0000000000000007E-2</v>
      </c>
      <c r="O18" s="137" t="s">
        <v>16</v>
      </c>
      <c r="P18" s="66">
        <f>IF(L12=1,(P15*P16*P17),0)</f>
        <v>72.838992838992837</v>
      </c>
      <c r="Q18" s="68">
        <f>IF(L25=1,(Q15*Q16*Q17),0)</f>
        <v>74.862298195631524</v>
      </c>
      <c r="S18" s="137" t="s">
        <v>20</v>
      </c>
      <c r="T18" s="135">
        <f>SUMPRODUCT(C14:J14,C6:J6/SUM(C6:J6))</f>
        <v>0</v>
      </c>
      <c r="U18" s="76">
        <f>SUMPRODUCT(C27:J27,K6:R6)/SUM(K6:R6)</f>
        <v>0</v>
      </c>
    </row>
    <row r="19" spans="1:21" ht="15.75" thickBot="1" x14ac:dyDescent="0.3">
      <c r="A19" s="806"/>
      <c r="B19" s="140" t="s">
        <v>41</v>
      </c>
      <c r="C19" s="120">
        <f>C17+C18</f>
        <v>8.5820460506008018</v>
      </c>
      <c r="D19" s="78">
        <f t="shared" ref="D19:J19" si="5">D17+D18</f>
        <v>7.041246050600801</v>
      </c>
      <c r="E19" s="78">
        <f t="shared" si="5"/>
        <v>6.6132460506008011</v>
      </c>
      <c r="F19" s="78">
        <f t="shared" si="5"/>
        <v>6.6132460506008011</v>
      </c>
      <c r="G19" s="78">
        <f t="shared" si="5"/>
        <v>0</v>
      </c>
      <c r="H19" s="78">
        <f t="shared" si="5"/>
        <v>0</v>
      </c>
      <c r="I19" s="78">
        <f t="shared" si="5"/>
        <v>0</v>
      </c>
      <c r="J19" s="78">
        <f t="shared" si="5"/>
        <v>0</v>
      </c>
      <c r="K19" s="10" t="s">
        <v>2</v>
      </c>
      <c r="O19" s="45" t="s">
        <v>17</v>
      </c>
      <c r="P19" s="145">
        <v>85</v>
      </c>
      <c r="Q19" s="146">
        <v>0</v>
      </c>
      <c r="S19" s="45" t="s">
        <v>13</v>
      </c>
      <c r="T19" s="138">
        <v>130</v>
      </c>
      <c r="U19" s="139">
        <v>115</v>
      </c>
    </row>
    <row r="20" spans="1:21" ht="15.75" customHeight="1" thickBot="1" x14ac:dyDescent="0.3">
      <c r="O20" s="140" t="s">
        <v>20</v>
      </c>
      <c r="P20" s="77">
        <f>IF(C7=0,0,(P18*P19)/C7)</f>
        <v>0.3927003927003927</v>
      </c>
      <c r="Q20" s="79">
        <f>IF(K7=0,0,(Q18*Q19)/K7)</f>
        <v>0</v>
      </c>
      <c r="S20" s="140" t="s">
        <v>23</v>
      </c>
      <c r="T20" s="141">
        <f>(T18*C7)/T19</f>
        <v>0</v>
      </c>
      <c r="U20" s="107">
        <f>(U18*K7)/U19</f>
        <v>0</v>
      </c>
    </row>
    <row r="21" spans="1:21" ht="15.75" customHeight="1" thickBot="1" x14ac:dyDescent="0.3">
      <c r="B21" s="838" t="s">
        <v>90</v>
      </c>
      <c r="C21" s="838"/>
      <c r="D21" s="838"/>
      <c r="E21" s="838"/>
      <c r="F21" s="838"/>
      <c r="G21" s="838"/>
      <c r="H21" s="838"/>
      <c r="I21" s="838"/>
      <c r="J21" s="838"/>
    </row>
    <row r="22" spans="1:21" ht="15.75" thickBot="1" x14ac:dyDescent="0.3">
      <c r="B22" s="838"/>
      <c r="C22" s="838"/>
      <c r="D22" s="838"/>
      <c r="E22" s="838"/>
      <c r="F22" s="838"/>
      <c r="G22" s="838"/>
      <c r="H22" s="838"/>
      <c r="I22" s="838"/>
      <c r="J22" s="838"/>
      <c r="O22" s="785" t="s">
        <v>223</v>
      </c>
      <c r="P22" s="786"/>
      <c r="Q22" s="787"/>
      <c r="R22" s="422"/>
      <c r="S22" s="785" t="s">
        <v>7</v>
      </c>
      <c r="T22" s="786"/>
      <c r="U22" s="787"/>
    </row>
    <row r="23" spans="1:21" ht="15.75" thickBot="1" x14ac:dyDescent="0.3">
      <c r="A23" s="39" t="s">
        <v>1</v>
      </c>
      <c r="B23" s="130" t="s">
        <v>3</v>
      </c>
      <c r="C23" s="408" t="str">
        <f>Total!L10</f>
        <v>SEPM</v>
      </c>
      <c r="D23" s="409" t="str">
        <f>Total!M10</f>
        <v>BOP</v>
      </c>
      <c r="E23" s="409" t="str">
        <f>Total!N10</f>
        <v>PEU_DÉROULAGE</v>
      </c>
      <c r="F23" s="409" t="str">
        <f>Total!O10</f>
        <v>PET</v>
      </c>
      <c r="G23" s="409" t="str">
        <f>Total!P10</f>
        <v>-</v>
      </c>
      <c r="H23" s="409" t="str">
        <f>Total!Q10</f>
        <v>-</v>
      </c>
      <c r="I23" s="409" t="str">
        <f>Total!R10</f>
        <v>-</v>
      </c>
      <c r="J23" s="409" t="str">
        <f>Total!S10</f>
        <v>-</v>
      </c>
      <c r="N23" s="8"/>
      <c r="O23" s="394"/>
      <c r="P23" s="391" t="s">
        <v>88</v>
      </c>
      <c r="Q23" s="392" t="s">
        <v>48</v>
      </c>
      <c r="R23" s="233"/>
      <c r="S23" s="108"/>
      <c r="T23" s="147" t="s">
        <v>47</v>
      </c>
      <c r="U23" s="33" t="s">
        <v>48</v>
      </c>
    </row>
    <row r="24" spans="1:21" ht="15.75" thickBot="1" x14ac:dyDescent="0.3">
      <c r="A24" s="795" t="s">
        <v>24</v>
      </c>
      <c r="B24" s="423" t="s">
        <v>24</v>
      </c>
      <c r="C24" s="119">
        <v>5</v>
      </c>
      <c r="D24" s="18">
        <v>5</v>
      </c>
      <c r="E24" s="18">
        <v>5</v>
      </c>
      <c r="F24" s="18">
        <v>5</v>
      </c>
      <c r="G24" s="427">
        <v>0</v>
      </c>
      <c r="H24" s="427">
        <v>0</v>
      </c>
      <c r="I24" s="427">
        <v>0</v>
      </c>
      <c r="J24" s="19">
        <v>0</v>
      </c>
      <c r="K24" s="10" t="s">
        <v>2</v>
      </c>
      <c r="L24" s="785" t="s">
        <v>99</v>
      </c>
      <c r="M24" s="787"/>
      <c r="N24" s="8"/>
      <c r="O24" s="180" t="s">
        <v>226</v>
      </c>
      <c r="P24" s="362">
        <v>1000</v>
      </c>
      <c r="Q24" s="36">
        <v>1000</v>
      </c>
      <c r="R24" s="233"/>
      <c r="S24" s="137" t="s">
        <v>20</v>
      </c>
      <c r="T24" s="135">
        <f>SUMPRODUCT(C16:J16,C6:J6)/C7</f>
        <v>0</v>
      </c>
      <c r="U24" s="76">
        <f>SUMPRODUCT(C29:J29,K6:R6)/K7</f>
        <v>0</v>
      </c>
    </row>
    <row r="25" spans="1:21" ht="15.75" thickBot="1" x14ac:dyDescent="0.3">
      <c r="A25" s="805"/>
      <c r="B25" s="178" t="s">
        <v>4</v>
      </c>
      <c r="C25" s="112">
        <f>IF(K6=0,0,IF($L$25=1,$Q$20,0))</f>
        <v>0</v>
      </c>
      <c r="D25" s="67">
        <f>IF(L6=0,0,IF($L$25=1,$Q$20,0))</f>
        <v>0</v>
      </c>
      <c r="E25" s="67">
        <f>IF(M6=0,0,IF($L$25=1,$Q$20,0))</f>
        <v>0</v>
      </c>
      <c r="F25" s="67">
        <f>IF(N6=0,0,IF($L$25=1,$Q$20,0))</f>
        <v>0</v>
      </c>
      <c r="G25" s="67">
        <f t="shared" ref="G25:I25" si="6">IF(O6=0,0,IF($L$25=1,$Q$20,0))</f>
        <v>0</v>
      </c>
      <c r="H25" s="67">
        <f t="shared" si="6"/>
        <v>0</v>
      </c>
      <c r="I25" s="67">
        <f t="shared" si="6"/>
        <v>0</v>
      </c>
      <c r="J25" s="68">
        <f>IF(R6=0,0,IF($L$25=1,$Q$20,0))</f>
        <v>0</v>
      </c>
      <c r="K25" s="10" t="s">
        <v>2</v>
      </c>
      <c r="L25" s="785">
        <v>1</v>
      </c>
      <c r="M25" s="787"/>
      <c r="O25" s="295" t="s">
        <v>225</v>
      </c>
      <c r="P25" s="416">
        <v>0.06</v>
      </c>
      <c r="Q25" s="234">
        <v>0.06</v>
      </c>
      <c r="R25" s="421"/>
      <c r="S25" s="45" t="s">
        <v>13</v>
      </c>
      <c r="T25" s="138">
        <v>130</v>
      </c>
      <c r="U25" s="139">
        <v>150</v>
      </c>
    </row>
    <row r="26" spans="1:21" ht="15.75" thickBot="1" x14ac:dyDescent="0.3">
      <c r="A26" s="805"/>
      <c r="B26" s="178" t="s">
        <v>5</v>
      </c>
      <c r="C26" s="112">
        <f>IF(K6=0,0,$U$14)</f>
        <v>0</v>
      </c>
      <c r="D26" s="67">
        <f>IF(L6=0,0,$U$14)</f>
        <v>0</v>
      </c>
      <c r="E26" s="67">
        <f>IF(M6=0,0,$U$14)</f>
        <v>0</v>
      </c>
      <c r="F26" s="67">
        <f>IF(N6=0,0,$U$14)</f>
        <v>0</v>
      </c>
      <c r="G26" s="67">
        <f t="shared" ref="G26:I26" si="7">IF(O6=0,0,$U$14)</f>
        <v>0</v>
      </c>
      <c r="H26" s="67">
        <f t="shared" si="7"/>
        <v>0</v>
      </c>
      <c r="I26" s="67">
        <f t="shared" si="7"/>
        <v>0</v>
      </c>
      <c r="J26" s="68">
        <f>IF(R6=0,0,$U$14)</f>
        <v>0</v>
      </c>
      <c r="K26" s="10" t="s">
        <v>2</v>
      </c>
      <c r="O26" s="181" t="s">
        <v>20</v>
      </c>
      <c r="P26" s="414">
        <f>IF(C7=0,0,(P25*P24*P17*P15)/C7)</f>
        <v>6.9300069300069295E-2</v>
      </c>
      <c r="Q26" s="97">
        <f>IF(K7=0,0,(Q25*Q24*Q17*Q15)/K7)</f>
        <v>7.1225071225071226E-2</v>
      </c>
      <c r="R26" s="206"/>
      <c r="S26" s="140" t="s">
        <v>23</v>
      </c>
      <c r="T26" s="141">
        <f>(T24*C7)/T25</f>
        <v>0</v>
      </c>
      <c r="U26" s="107">
        <f>(U24*K7)/U25</f>
        <v>0</v>
      </c>
    </row>
    <row r="27" spans="1:21" x14ac:dyDescent="0.25">
      <c r="A27" s="805"/>
      <c r="B27" s="168" t="s">
        <v>6</v>
      </c>
      <c r="C27" s="115">
        <v>0</v>
      </c>
      <c r="D27" s="12">
        <v>0</v>
      </c>
      <c r="E27" s="12">
        <v>0</v>
      </c>
      <c r="F27" s="12">
        <v>0</v>
      </c>
      <c r="G27" s="360">
        <v>0</v>
      </c>
      <c r="H27" s="360">
        <v>0</v>
      </c>
      <c r="I27" s="360">
        <v>0</v>
      </c>
      <c r="J27" s="37">
        <v>0</v>
      </c>
      <c r="K27" s="10" t="s">
        <v>2</v>
      </c>
    </row>
    <row r="28" spans="1:21" x14ac:dyDescent="0.25">
      <c r="A28" s="805"/>
      <c r="B28" s="420" t="s">
        <v>227</v>
      </c>
      <c r="C28" s="112">
        <f>IF(K6=0,0,$Q$26)</f>
        <v>7.1225071225071226E-2</v>
      </c>
      <c r="D28" s="67">
        <f>IF(L6=0,0,$Q$26)</f>
        <v>7.1225071225071226E-2</v>
      </c>
      <c r="E28" s="67">
        <f>IF(M6=0,0,$Q$26)</f>
        <v>7.1225071225071226E-2</v>
      </c>
      <c r="F28" s="67">
        <f>IF(N6=0,0,$Q$26)</f>
        <v>7.1225071225071226E-2</v>
      </c>
      <c r="G28" s="67">
        <f t="shared" ref="G28:I28" si="8">IF(O6=0,0,$Q$26)</f>
        <v>0</v>
      </c>
      <c r="H28" s="67">
        <f t="shared" si="8"/>
        <v>0</v>
      </c>
      <c r="I28" s="67">
        <f t="shared" si="8"/>
        <v>0</v>
      </c>
      <c r="J28" s="68">
        <f>IF(R6=0,0,$Q$26)</f>
        <v>0</v>
      </c>
      <c r="K28" s="10" t="s">
        <v>2</v>
      </c>
    </row>
    <row r="29" spans="1:21" ht="15.75" thickBot="1" x14ac:dyDescent="0.3">
      <c r="A29" s="805"/>
      <c r="B29" s="260" t="s">
        <v>7</v>
      </c>
      <c r="C29" s="116">
        <v>0</v>
      </c>
      <c r="D29" s="538">
        <v>0</v>
      </c>
      <c r="E29" s="538">
        <v>0</v>
      </c>
      <c r="F29" s="538">
        <v>0</v>
      </c>
      <c r="G29" s="553">
        <v>0</v>
      </c>
      <c r="H29" s="553">
        <v>0</v>
      </c>
      <c r="I29" s="553">
        <v>0</v>
      </c>
      <c r="J29" s="539">
        <v>0</v>
      </c>
      <c r="K29" s="10" t="s">
        <v>2</v>
      </c>
    </row>
    <row r="30" spans="1:21" ht="15.75" thickBot="1" x14ac:dyDescent="0.3">
      <c r="A30" s="805"/>
      <c r="B30" s="191" t="s">
        <v>42</v>
      </c>
      <c r="C30" s="174">
        <f>IF(K6=0,0,SUM(C24:C29))</f>
        <v>5.0712250712250713</v>
      </c>
      <c r="D30" s="175">
        <f>IF(L6=0,0,SUM(D24:D29))</f>
        <v>5.0712250712250713</v>
      </c>
      <c r="E30" s="175">
        <f>IF(M6=0,0,SUM(E24:E29))</f>
        <v>5.0712250712250713</v>
      </c>
      <c r="F30" s="175">
        <f>IF(N6=0,0,SUM(F24:F29))</f>
        <v>5.0712250712250713</v>
      </c>
      <c r="G30" s="175">
        <f t="shared" ref="G30:I30" si="9">IF(O6=0,0,SUM(G24:G29))</f>
        <v>0</v>
      </c>
      <c r="H30" s="175">
        <f t="shared" si="9"/>
        <v>0</v>
      </c>
      <c r="I30" s="175">
        <f t="shared" si="9"/>
        <v>0</v>
      </c>
      <c r="J30" s="176">
        <f>IF(R6=0,0,SUM(J24:J29))</f>
        <v>0</v>
      </c>
      <c r="K30" s="10" t="s">
        <v>2</v>
      </c>
    </row>
    <row r="31" spans="1:21" ht="15.75" thickBot="1" x14ac:dyDescent="0.3">
      <c r="A31" s="805"/>
      <c r="B31" s="192" t="s">
        <v>156</v>
      </c>
      <c r="C31" s="86">
        <f>C30*$K$31</f>
        <v>0.35498575498575502</v>
      </c>
      <c r="D31" s="65">
        <f t="shared" ref="D31:J31" si="10">D30*$K$31</f>
        <v>0.35498575498575502</v>
      </c>
      <c r="E31" s="65">
        <f t="shared" si="10"/>
        <v>0.35498575498575502</v>
      </c>
      <c r="F31" s="65">
        <f t="shared" si="10"/>
        <v>0.35498575498575502</v>
      </c>
      <c r="G31" s="65">
        <f t="shared" si="10"/>
        <v>0</v>
      </c>
      <c r="H31" s="65">
        <f t="shared" si="10"/>
        <v>0</v>
      </c>
      <c r="I31" s="65">
        <f t="shared" si="10"/>
        <v>0</v>
      </c>
      <c r="J31" s="72">
        <f t="shared" si="10"/>
        <v>0</v>
      </c>
      <c r="K31" s="231">
        <f>Total!V35</f>
        <v>7.0000000000000007E-2</v>
      </c>
    </row>
    <row r="32" spans="1:21" ht="15.75" thickBot="1" x14ac:dyDescent="0.3">
      <c r="A32" s="806"/>
      <c r="B32" s="140" t="s">
        <v>41</v>
      </c>
      <c r="C32" s="118">
        <f>C30+C31</f>
        <v>5.4262108262108262</v>
      </c>
      <c r="D32" s="81">
        <f t="shared" ref="D32:J32" si="11">D30+D31</f>
        <v>5.4262108262108262</v>
      </c>
      <c r="E32" s="81">
        <f t="shared" si="11"/>
        <v>5.4262108262108262</v>
      </c>
      <c r="F32" s="81">
        <f t="shared" si="11"/>
        <v>5.4262108262108262</v>
      </c>
      <c r="G32" s="81">
        <f t="shared" si="11"/>
        <v>0</v>
      </c>
      <c r="H32" s="81">
        <f t="shared" si="11"/>
        <v>0</v>
      </c>
      <c r="I32" s="81">
        <f t="shared" si="11"/>
        <v>0</v>
      </c>
      <c r="J32" s="87">
        <f t="shared" si="11"/>
        <v>0</v>
      </c>
      <c r="K32" s="10" t="s">
        <v>2</v>
      </c>
    </row>
  </sheetData>
  <mergeCells count="19">
    <mergeCell ref="A24:A32"/>
    <mergeCell ref="L24:M24"/>
    <mergeCell ref="L25:M25"/>
    <mergeCell ref="L11:M11"/>
    <mergeCell ref="L12:M12"/>
    <mergeCell ref="B21:J22"/>
    <mergeCell ref="C7:J7"/>
    <mergeCell ref="A11:A19"/>
    <mergeCell ref="A1:U1"/>
    <mergeCell ref="S22:U22"/>
    <mergeCell ref="B8:J9"/>
    <mergeCell ref="O9:Q9"/>
    <mergeCell ref="S9:U9"/>
    <mergeCell ref="S16:U16"/>
    <mergeCell ref="O22:Q22"/>
    <mergeCell ref="C4:J4"/>
    <mergeCell ref="C2:R3"/>
    <mergeCell ref="K4:R4"/>
    <mergeCell ref="K7:R7"/>
  </mergeCells>
  <pageMargins left="0.7" right="0.7" top="0.75" bottom="0.75" header="0.3" footer="0.3"/>
  <legacy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S26"/>
  <sheetViews>
    <sheetView workbookViewId="0">
      <pane ySplit="1" topLeftCell="A2" activePane="bottomLeft" state="frozen"/>
      <selection pane="bottomLeft" activeCell="P18" sqref="P18"/>
    </sheetView>
  </sheetViews>
  <sheetFormatPr baseColWidth="10" defaultRowHeight="15" x14ac:dyDescent="0.25"/>
  <cols>
    <col min="1" max="1" width="11.42578125" style="10"/>
    <col min="2" max="2" width="17.85546875" style="10" bestFit="1" customWidth="1"/>
    <col min="3" max="3" width="12.5703125" style="10" bestFit="1" customWidth="1"/>
    <col min="4" max="4" width="9.5703125" style="10" bestFit="1" customWidth="1"/>
    <col min="5" max="5" width="11.5703125" style="10" bestFit="1" customWidth="1"/>
    <col min="6" max="6" width="13.140625" style="10" bestFit="1" customWidth="1"/>
    <col min="7" max="9" width="13.140625" style="10" customWidth="1"/>
    <col min="10" max="10" width="13.140625" style="10" bestFit="1" customWidth="1"/>
    <col min="11" max="11" width="11" style="10" bestFit="1" customWidth="1"/>
    <col min="12" max="12" width="11.42578125" style="10"/>
    <col min="13" max="13" width="15" style="10" customWidth="1"/>
    <col min="14" max="14" width="11.5703125" style="10" bestFit="1" customWidth="1"/>
    <col min="15" max="15" width="39" style="10" bestFit="1" customWidth="1"/>
    <col min="16" max="16" width="13.140625" style="10" bestFit="1" customWidth="1"/>
    <col min="17" max="17" width="11.42578125" style="10"/>
    <col min="18" max="18" width="29.28515625" style="10" bestFit="1" customWidth="1"/>
    <col min="19" max="16384" width="11.42578125" style="10"/>
  </cols>
  <sheetData>
    <row r="1" spans="1:19" ht="30.75" customHeight="1" x14ac:dyDescent="0.25">
      <c r="A1" s="838" t="str">
        <f>Total!C8</f>
        <v>LEMANCEAU_COURT</v>
      </c>
      <c r="B1" s="838"/>
      <c r="C1" s="838"/>
      <c r="D1" s="838"/>
      <c r="E1" s="838"/>
      <c r="F1" s="838"/>
      <c r="G1" s="838"/>
      <c r="H1" s="838"/>
      <c r="I1" s="838"/>
      <c r="J1" s="838"/>
      <c r="K1" s="838"/>
      <c r="L1" s="838"/>
      <c r="M1" s="838"/>
      <c r="N1" s="838"/>
      <c r="O1" s="838"/>
      <c r="P1" s="838"/>
      <c r="Q1" s="838"/>
      <c r="R1" s="838"/>
      <c r="S1" s="838"/>
    </row>
    <row r="2" spans="1:19" ht="19.5" customHeight="1" thickBot="1" x14ac:dyDescent="0.3">
      <c r="D2" s="167"/>
      <c r="E2" s="167"/>
      <c r="F2" s="167"/>
      <c r="G2" s="601"/>
      <c r="H2" s="601"/>
      <c r="I2" s="601"/>
      <c r="J2" s="167"/>
      <c r="K2" s="167"/>
      <c r="L2" s="167"/>
      <c r="M2" s="167"/>
      <c r="N2" s="167"/>
      <c r="O2" s="167"/>
    </row>
    <row r="3" spans="1:19" ht="15" customHeight="1" x14ac:dyDescent="0.25">
      <c r="B3" s="832"/>
      <c r="C3" s="858" t="s">
        <v>82</v>
      </c>
      <c r="D3" s="859"/>
      <c r="E3" s="859"/>
      <c r="F3" s="859"/>
      <c r="G3" s="859"/>
      <c r="H3" s="859"/>
      <c r="I3" s="859"/>
      <c r="J3" s="859"/>
      <c r="K3" s="860"/>
      <c r="L3" s="225"/>
      <c r="M3" s="225"/>
      <c r="N3" s="225"/>
      <c r="O3" s="225"/>
      <c r="P3" s="225"/>
    </row>
    <row r="4" spans="1:19" ht="15.75" customHeight="1" thickBot="1" x14ac:dyDescent="0.3">
      <c r="B4" s="864"/>
      <c r="C4" s="861"/>
      <c r="D4" s="862"/>
      <c r="E4" s="862"/>
      <c r="F4" s="862"/>
      <c r="G4" s="862"/>
      <c r="H4" s="862"/>
      <c r="I4" s="862"/>
      <c r="J4" s="862"/>
      <c r="K4" s="863"/>
      <c r="L4" s="225"/>
      <c r="M4" s="225"/>
      <c r="N4" s="225"/>
      <c r="O4" s="225"/>
      <c r="P4" s="225"/>
    </row>
    <row r="5" spans="1:19" ht="15.75" thickBot="1" x14ac:dyDescent="0.3">
      <c r="B5" s="864"/>
      <c r="C5" s="785" t="s">
        <v>157</v>
      </c>
      <c r="D5" s="786"/>
      <c r="E5" s="786"/>
      <c r="F5" s="786"/>
      <c r="G5" s="786"/>
      <c r="H5" s="786"/>
      <c r="I5" s="786"/>
      <c r="J5" s="786"/>
      <c r="K5" s="787"/>
    </row>
    <row r="6" spans="1:19" ht="15.75" thickBot="1" x14ac:dyDescent="0.3">
      <c r="B6" s="833"/>
      <c r="C6" s="355" t="str">
        <f>Total!L4</f>
        <v>SEPM</v>
      </c>
      <c r="D6" s="356" t="str">
        <f>Total!M4</f>
        <v>BOP</v>
      </c>
      <c r="E6" s="356" t="str">
        <f>Total!N4</f>
        <v>PEU_DÉROULAGE</v>
      </c>
      <c r="F6" s="356" t="str">
        <f>Total!O4</f>
        <v>PET</v>
      </c>
      <c r="G6" s="603" t="str">
        <f>Total!P4</f>
        <v>-</v>
      </c>
      <c r="H6" s="603" t="str">
        <f>Total!Q4</f>
        <v>-</v>
      </c>
      <c r="I6" s="603" t="str">
        <f>Total!R4</f>
        <v>-</v>
      </c>
      <c r="J6" s="334" t="str">
        <f>Total!S4</f>
        <v>-</v>
      </c>
      <c r="K6" s="28" t="s">
        <v>41</v>
      </c>
    </row>
    <row r="7" spans="1:19" x14ac:dyDescent="0.25">
      <c r="B7" s="218" t="s">
        <v>8</v>
      </c>
      <c r="C7" s="375">
        <f>Total!L5</f>
        <v>11000</v>
      </c>
      <c r="D7" s="376">
        <f>Total!M5</f>
        <v>2000</v>
      </c>
      <c r="E7" s="376">
        <f>Total!N5</f>
        <v>266</v>
      </c>
      <c r="F7" s="376">
        <f>Total!O5</f>
        <v>2500</v>
      </c>
      <c r="G7" s="376">
        <f>Total!P5</f>
        <v>0</v>
      </c>
      <c r="H7" s="376">
        <f>Total!Q5</f>
        <v>0</v>
      </c>
      <c r="I7" s="376">
        <f>Total!R5</f>
        <v>0</v>
      </c>
      <c r="J7" s="377">
        <f>Total!S5</f>
        <v>0</v>
      </c>
      <c r="K7" s="378">
        <f>Total!L6</f>
        <v>15766</v>
      </c>
    </row>
    <row r="8" spans="1:19" ht="15.75" thickBot="1" x14ac:dyDescent="0.3">
      <c r="B8" s="169" t="s">
        <v>96</v>
      </c>
      <c r="C8" s="372">
        <v>11000</v>
      </c>
      <c r="D8" s="373">
        <v>2000</v>
      </c>
      <c r="E8" s="373">
        <v>266</v>
      </c>
      <c r="F8" s="373">
        <v>2500</v>
      </c>
      <c r="G8" s="373">
        <v>0</v>
      </c>
      <c r="H8" s="373">
        <v>0</v>
      </c>
      <c r="I8" s="373">
        <v>0</v>
      </c>
      <c r="J8" s="597">
        <v>0</v>
      </c>
      <c r="K8" s="361">
        <f>SUM(C8:J8)</f>
        <v>15766</v>
      </c>
    </row>
    <row r="9" spans="1:19" ht="15.75" thickBot="1" x14ac:dyDescent="0.3">
      <c r="B9" s="838" t="s">
        <v>125</v>
      </c>
      <c r="C9" s="838"/>
      <c r="D9" s="838"/>
      <c r="E9" s="838"/>
      <c r="F9" s="838"/>
      <c r="G9" s="838"/>
      <c r="H9" s="838"/>
      <c r="I9" s="838"/>
      <c r="J9" s="838"/>
      <c r="M9" s="8"/>
      <c r="N9" s="8"/>
    </row>
    <row r="10" spans="1:19" ht="15.75" thickBot="1" x14ac:dyDescent="0.3">
      <c r="B10" s="838"/>
      <c r="C10" s="838"/>
      <c r="D10" s="838"/>
      <c r="E10" s="838"/>
      <c r="F10" s="838"/>
      <c r="G10" s="838"/>
      <c r="H10" s="838"/>
      <c r="I10" s="838"/>
      <c r="J10" s="838"/>
      <c r="O10" s="801" t="s">
        <v>29</v>
      </c>
      <c r="P10" s="803"/>
      <c r="Q10" s="1"/>
      <c r="R10" s="801" t="s">
        <v>5</v>
      </c>
      <c r="S10" s="803"/>
    </row>
    <row r="11" spans="1:19" ht="15" customHeight="1" thickBot="1" x14ac:dyDescent="0.3">
      <c r="A11" s="39" t="s">
        <v>1</v>
      </c>
      <c r="B11" s="130" t="s">
        <v>3</v>
      </c>
      <c r="C11" s="408" t="str">
        <f>Total!L4</f>
        <v>SEPM</v>
      </c>
      <c r="D11" s="409" t="str">
        <f>Total!M4</f>
        <v>BOP</v>
      </c>
      <c r="E11" s="409" t="str">
        <f>Total!N4</f>
        <v>PEU_DÉROULAGE</v>
      </c>
      <c r="F11" s="409" t="str">
        <f>Total!O4</f>
        <v>PET</v>
      </c>
      <c r="G11" s="409" t="str">
        <f>Total!P4</f>
        <v>-</v>
      </c>
      <c r="H11" s="409" t="str">
        <f>Total!Q4</f>
        <v>-</v>
      </c>
      <c r="I11" s="409" t="str">
        <f>Total!R4</f>
        <v>-</v>
      </c>
      <c r="J11" s="410" t="str">
        <f>Total!S4</f>
        <v>-</v>
      </c>
      <c r="O11" s="23" t="s">
        <v>10</v>
      </c>
      <c r="P11" s="148">
        <v>18</v>
      </c>
      <c r="R11" s="27" t="s">
        <v>13</v>
      </c>
      <c r="S11" s="155">
        <v>115</v>
      </c>
    </row>
    <row r="12" spans="1:19" ht="15.75" thickBot="1" x14ac:dyDescent="0.3">
      <c r="A12" s="795" t="s">
        <v>25</v>
      </c>
      <c r="B12" s="259" t="s">
        <v>25</v>
      </c>
      <c r="C12" s="188">
        <v>5.25</v>
      </c>
      <c r="D12" s="188">
        <v>5.25</v>
      </c>
      <c r="E12" s="188">
        <v>5.25</v>
      </c>
      <c r="F12" s="188">
        <v>5.25</v>
      </c>
      <c r="G12" s="614">
        <v>0</v>
      </c>
      <c r="H12" s="614">
        <v>0</v>
      </c>
      <c r="I12" s="614">
        <v>0</v>
      </c>
      <c r="J12" s="190">
        <v>0</v>
      </c>
      <c r="K12" s="10" t="s">
        <v>2</v>
      </c>
      <c r="L12" s="785" t="s">
        <v>99</v>
      </c>
      <c r="M12" s="787"/>
      <c r="N12" s="8"/>
      <c r="O12" s="25" t="s">
        <v>19</v>
      </c>
      <c r="P12" s="149">
        <v>0.78</v>
      </c>
      <c r="R12" s="25" t="s">
        <v>14</v>
      </c>
      <c r="S12" s="152">
        <v>0</v>
      </c>
    </row>
    <row r="13" spans="1:19" ht="15.75" thickBot="1" x14ac:dyDescent="0.3">
      <c r="A13" s="805"/>
      <c r="B13" s="178" t="s">
        <v>4</v>
      </c>
      <c r="C13" s="112">
        <f>IF(C7=0,0,IF(C8=0,0,IF($L$13=1,$P$20,0))*C8/C7)</f>
        <v>0</v>
      </c>
      <c r="D13" s="67">
        <f t="shared" ref="D13:J13" si="0">IF(D7=0,0,IF(D8=0,0,IF($L$13=1,$P$20,0))*D8/D7)</f>
        <v>0</v>
      </c>
      <c r="E13" s="67">
        <f t="shared" si="0"/>
        <v>0</v>
      </c>
      <c r="F13" s="67">
        <f>IF(F7=0,0,IF(F8=0,0,IF($L$13=1,$P$20,0))*F8/F7)</f>
        <v>0</v>
      </c>
      <c r="G13" s="67">
        <f t="shared" ref="G13:I13" si="1">IF(G7=0,0,IF(G8=0,0,IF($L$13=1,$P$20,0))*G8/G7)</f>
        <v>0</v>
      </c>
      <c r="H13" s="67">
        <f t="shared" si="1"/>
        <v>0</v>
      </c>
      <c r="I13" s="67">
        <f t="shared" si="1"/>
        <v>0</v>
      </c>
      <c r="J13" s="68">
        <f t="shared" si="0"/>
        <v>0</v>
      </c>
      <c r="K13" s="10" t="s">
        <v>2</v>
      </c>
      <c r="L13" s="785">
        <v>1</v>
      </c>
      <c r="M13" s="787"/>
      <c r="N13" s="8"/>
      <c r="O13" s="25" t="s">
        <v>11</v>
      </c>
      <c r="P13" s="571">
        <v>90</v>
      </c>
      <c r="R13" s="166" t="s">
        <v>15</v>
      </c>
      <c r="S13" s="292">
        <f>P14</f>
        <v>2</v>
      </c>
    </row>
    <row r="14" spans="1:19" ht="15.75" thickBot="1" x14ac:dyDescent="0.3">
      <c r="A14" s="805"/>
      <c r="B14" s="178" t="s">
        <v>5</v>
      </c>
      <c r="C14" s="112">
        <f>IF(C7=0,0,IF(C8=0,0,$S$14)*(C8/C7))</f>
        <v>0</v>
      </c>
      <c r="D14" s="67">
        <f t="shared" ref="D14:J14" si="2">IF(D7=0,0,IF(D8=0,0,$S$14)*(D8/D7))</f>
        <v>0</v>
      </c>
      <c r="E14" s="67">
        <f t="shared" si="2"/>
        <v>0</v>
      </c>
      <c r="F14" s="67">
        <f t="shared" si="2"/>
        <v>0</v>
      </c>
      <c r="G14" s="67">
        <f t="shared" si="2"/>
        <v>0</v>
      </c>
      <c r="H14" s="67">
        <f t="shared" si="2"/>
        <v>0</v>
      </c>
      <c r="I14" s="67">
        <f t="shared" si="2"/>
        <v>0</v>
      </c>
      <c r="J14" s="68">
        <f t="shared" si="2"/>
        <v>0</v>
      </c>
      <c r="K14" s="10" t="s">
        <v>2</v>
      </c>
      <c r="O14" s="25" t="s">
        <v>15</v>
      </c>
      <c r="P14" s="571">
        <v>2</v>
      </c>
      <c r="R14" s="140" t="s">
        <v>20</v>
      </c>
      <c r="S14" s="154">
        <f>(S11*S12*S13)/K8</f>
        <v>0</v>
      </c>
    </row>
    <row r="15" spans="1:19" ht="15.75" thickBot="1" x14ac:dyDescent="0.3">
      <c r="A15" s="805"/>
      <c r="B15" s="168" t="s">
        <v>6</v>
      </c>
      <c r="C15" s="115">
        <v>0</v>
      </c>
      <c r="D15" s="12">
        <v>0</v>
      </c>
      <c r="E15" s="12">
        <v>0</v>
      </c>
      <c r="F15" s="12">
        <v>0</v>
      </c>
      <c r="G15" s="360">
        <v>0</v>
      </c>
      <c r="H15" s="360">
        <v>0</v>
      </c>
      <c r="I15" s="360">
        <v>0</v>
      </c>
      <c r="J15" s="37">
        <v>0</v>
      </c>
      <c r="K15" s="10" t="s">
        <v>2</v>
      </c>
      <c r="O15" s="137" t="s">
        <v>12</v>
      </c>
      <c r="P15" s="150">
        <f>IF(P14=0,0,((K8/P11)/P12)/P13/P14)</f>
        <v>6.2385248496359607</v>
      </c>
    </row>
    <row r="16" spans="1:19" ht="15.75" thickBot="1" x14ac:dyDescent="0.3">
      <c r="A16" s="805"/>
      <c r="B16" s="420" t="s">
        <v>227</v>
      </c>
      <c r="C16" s="112">
        <f>IF(C7=0,0,IF(C8=0,0,$P$25)*(C8/C7))</f>
        <v>0.15827793605571383</v>
      </c>
      <c r="D16" s="67">
        <f t="shared" ref="D16:J16" si="3">IF(D7=0,0,IF(D8=0,0,$P$25)*(D8/D7))</f>
        <v>0.15827793605571383</v>
      </c>
      <c r="E16" s="67">
        <f t="shared" si="3"/>
        <v>0.15827793605571383</v>
      </c>
      <c r="F16" s="67">
        <f t="shared" si="3"/>
        <v>0.15827793605571383</v>
      </c>
      <c r="G16" s="67">
        <f t="shared" si="3"/>
        <v>0</v>
      </c>
      <c r="H16" s="67">
        <f t="shared" si="3"/>
        <v>0</v>
      </c>
      <c r="I16" s="67">
        <f t="shared" si="3"/>
        <v>0</v>
      </c>
      <c r="J16" s="68">
        <f t="shared" si="3"/>
        <v>0</v>
      </c>
      <c r="O16" s="126" t="s">
        <v>18</v>
      </c>
      <c r="P16" s="151">
        <v>4</v>
      </c>
      <c r="R16" s="801" t="s">
        <v>22</v>
      </c>
      <c r="S16" s="803"/>
    </row>
    <row r="17" spans="1:19" ht="15.75" thickBot="1" x14ac:dyDescent="0.3">
      <c r="A17" s="805"/>
      <c r="B17" s="260" t="s">
        <v>7</v>
      </c>
      <c r="C17" s="116">
        <v>0</v>
      </c>
      <c r="D17" s="538">
        <v>0</v>
      </c>
      <c r="E17" s="538">
        <v>0</v>
      </c>
      <c r="F17" s="538">
        <v>0</v>
      </c>
      <c r="G17" s="553">
        <v>0</v>
      </c>
      <c r="H17" s="553">
        <v>0</v>
      </c>
      <c r="I17" s="553">
        <v>0</v>
      </c>
      <c r="J17" s="539">
        <v>0</v>
      </c>
      <c r="K17" s="10" t="s">
        <v>2</v>
      </c>
      <c r="O17" s="126" t="s">
        <v>9</v>
      </c>
      <c r="P17" s="151">
        <v>4</v>
      </c>
      <c r="R17" s="157" t="s">
        <v>20</v>
      </c>
      <c r="S17" s="156">
        <f>SUMPRODUCT(C15:J15,C8:J8)/K8</f>
        <v>0</v>
      </c>
    </row>
    <row r="18" spans="1:19" ht="15.75" thickBot="1" x14ac:dyDescent="0.3">
      <c r="A18" s="805"/>
      <c r="B18" s="191" t="s">
        <v>97</v>
      </c>
      <c r="C18" s="174">
        <f>IF(C8=0,0,(C13+C14+C16)+((C12+C15+C17)*(C8/C7)))</f>
        <v>5.4082779360557138</v>
      </c>
      <c r="D18" s="175">
        <f t="shared" ref="D18:J18" si="4">IF(D8=0,0,(D13+D14+D16)+((D12+D15+D17)*(D8/D7)))</f>
        <v>5.4082779360557138</v>
      </c>
      <c r="E18" s="175">
        <f t="shared" si="4"/>
        <v>5.4082779360557138</v>
      </c>
      <c r="F18" s="175">
        <f t="shared" si="4"/>
        <v>5.4082779360557138</v>
      </c>
      <c r="G18" s="175">
        <f t="shared" si="4"/>
        <v>0</v>
      </c>
      <c r="H18" s="175">
        <f t="shared" si="4"/>
        <v>0</v>
      </c>
      <c r="I18" s="175">
        <f t="shared" si="4"/>
        <v>0</v>
      </c>
      <c r="J18" s="176">
        <f t="shared" si="4"/>
        <v>0</v>
      </c>
      <c r="K18" s="10" t="s">
        <v>2</v>
      </c>
      <c r="O18" s="137" t="s">
        <v>16</v>
      </c>
      <c r="P18" s="150">
        <f>IF(L13=1,(P15*P16*P17),0)</f>
        <v>99.816397594175371</v>
      </c>
      <c r="R18" s="45" t="s">
        <v>13</v>
      </c>
      <c r="S18" s="153">
        <v>130</v>
      </c>
    </row>
    <row r="19" spans="1:19" ht="15.75" thickBot="1" x14ac:dyDescent="0.3">
      <c r="A19" s="805"/>
      <c r="B19" s="192" t="s">
        <v>154</v>
      </c>
      <c r="C19" s="86">
        <f>C18*$K$19</f>
        <v>0.37857945552389999</v>
      </c>
      <c r="D19" s="65">
        <f t="shared" ref="D19:J19" si="5">D18*$K$19</f>
        <v>0.37857945552389999</v>
      </c>
      <c r="E19" s="65">
        <f t="shared" si="5"/>
        <v>0.37857945552389999</v>
      </c>
      <c r="F19" s="65">
        <f t="shared" si="5"/>
        <v>0.37857945552389999</v>
      </c>
      <c r="G19" s="65">
        <f t="shared" si="5"/>
        <v>0</v>
      </c>
      <c r="H19" s="65">
        <f t="shared" si="5"/>
        <v>0</v>
      </c>
      <c r="I19" s="65">
        <f t="shared" si="5"/>
        <v>0</v>
      </c>
      <c r="J19" s="72">
        <f t="shared" si="5"/>
        <v>0</v>
      </c>
      <c r="K19" s="231">
        <f>Total!V35</f>
        <v>7.0000000000000007E-2</v>
      </c>
      <c r="O19" s="45" t="s">
        <v>17</v>
      </c>
      <c r="P19" s="153">
        <v>0</v>
      </c>
      <c r="R19" s="140" t="s">
        <v>23</v>
      </c>
      <c r="S19" s="154">
        <f>(S17*K8)/S18</f>
        <v>0</v>
      </c>
    </row>
    <row r="20" spans="1:19" ht="15.75" thickBot="1" x14ac:dyDescent="0.3">
      <c r="A20" s="806"/>
      <c r="B20" s="194" t="s">
        <v>41</v>
      </c>
      <c r="C20" s="81">
        <f>IF(C12=0,0,C18+C19)</f>
        <v>5.7868573915796135</v>
      </c>
      <c r="D20" s="81">
        <f>IF(D12=0,0,D18+D19)</f>
        <v>5.7868573915796135</v>
      </c>
      <c r="E20" s="81">
        <f>IF(E12=0,0,E18+E19)</f>
        <v>5.7868573915796135</v>
      </c>
      <c r="F20" s="81">
        <f>IF(F12=0,0,F18+F19)</f>
        <v>5.7868573915796135</v>
      </c>
      <c r="G20" s="81">
        <f t="shared" ref="G20:I20" si="6">IF(G12=0,0,G18+G19)</f>
        <v>0</v>
      </c>
      <c r="H20" s="81">
        <f t="shared" si="6"/>
        <v>0</v>
      </c>
      <c r="I20" s="81">
        <f t="shared" si="6"/>
        <v>0</v>
      </c>
      <c r="J20" s="81">
        <f>IF(J12=0,0,J18+J19)</f>
        <v>0</v>
      </c>
      <c r="K20" s="10" t="s">
        <v>2</v>
      </c>
      <c r="O20" s="140" t="s">
        <v>20</v>
      </c>
      <c r="P20" s="154">
        <f>IF(K8=0,0,(P18*P19)/K8)</f>
        <v>0</v>
      </c>
    </row>
    <row r="21" spans="1:19" ht="15.75" thickBot="1" x14ac:dyDescent="0.3">
      <c r="R21" s="801" t="s">
        <v>7</v>
      </c>
      <c r="S21" s="803"/>
    </row>
    <row r="22" spans="1:19" ht="15.75" thickBot="1" x14ac:dyDescent="0.3">
      <c r="O22" s="785" t="s">
        <v>223</v>
      </c>
      <c r="P22" s="787"/>
      <c r="Q22" s="422"/>
      <c r="R22" s="157" t="s">
        <v>20</v>
      </c>
      <c r="S22" s="156">
        <f>SUMPRODUCT(C17:J17,C8:J8)/K8</f>
        <v>0</v>
      </c>
    </row>
    <row r="23" spans="1:19" ht="15.75" thickBot="1" x14ac:dyDescent="0.3">
      <c r="O23" s="180" t="s">
        <v>226</v>
      </c>
      <c r="P23" s="424">
        <v>1000</v>
      </c>
      <c r="Q23" s="233"/>
      <c r="R23" s="45" t="s">
        <v>13</v>
      </c>
      <c r="S23" s="158">
        <v>130</v>
      </c>
    </row>
    <row r="24" spans="1:19" ht="15.75" thickBot="1" x14ac:dyDescent="0.3">
      <c r="O24" s="295" t="s">
        <v>225</v>
      </c>
      <c r="P24" s="425">
        <v>0.1</v>
      </c>
      <c r="Q24" s="206"/>
      <c r="R24" s="140" t="s">
        <v>23</v>
      </c>
      <c r="S24" s="154">
        <f>(S22*K8)/S23</f>
        <v>0</v>
      </c>
    </row>
    <row r="25" spans="1:19" ht="15.75" thickBot="1" x14ac:dyDescent="0.3">
      <c r="O25" s="181" t="s">
        <v>20</v>
      </c>
      <c r="P25" s="252">
        <f>IF(K8=0,0,(P24*P23*P17*P15)/K8)</f>
        <v>0.15827793605571383</v>
      </c>
      <c r="Q25" s="421"/>
    </row>
    <row r="26" spans="1:19" x14ac:dyDescent="0.25">
      <c r="Q26" s="206"/>
    </row>
  </sheetData>
  <mergeCells count="13">
    <mergeCell ref="A1:S1"/>
    <mergeCell ref="L12:M12"/>
    <mergeCell ref="R16:S16"/>
    <mergeCell ref="C3:K4"/>
    <mergeCell ref="C5:K5"/>
    <mergeCell ref="B3:B6"/>
    <mergeCell ref="O22:P22"/>
    <mergeCell ref="A12:A20"/>
    <mergeCell ref="R21:S21"/>
    <mergeCell ref="B9:J10"/>
    <mergeCell ref="O10:P10"/>
    <mergeCell ref="R10:S10"/>
    <mergeCell ref="L13:M13"/>
  </mergeCells>
  <pageMargins left="0.7" right="0.7" top="0.75" bottom="0.75" header="0.3" footer="0.3"/>
  <legacy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workbookViewId="0">
      <pane ySplit="1" topLeftCell="A2" activePane="bottomLeft" state="frozen"/>
      <selection pane="bottomLeft" activeCell="S24" sqref="S24"/>
    </sheetView>
  </sheetViews>
  <sheetFormatPr baseColWidth="10" defaultRowHeight="15" x14ac:dyDescent="0.25"/>
  <cols>
    <col min="1" max="1" width="12.85546875" style="10" bestFit="1" customWidth="1"/>
    <col min="2" max="2" width="17.85546875" style="10" bestFit="1" customWidth="1"/>
    <col min="3" max="3" width="11.7109375" style="10" bestFit="1" customWidth="1"/>
    <col min="4" max="9" width="11.42578125" style="10"/>
    <col min="10" max="10" width="13.140625" style="10" bestFit="1" customWidth="1"/>
    <col min="11" max="11" width="12.5703125" style="10" bestFit="1" customWidth="1"/>
    <col min="12" max="12" width="11.42578125" style="10"/>
    <col min="13" max="13" width="15" style="10" customWidth="1"/>
    <col min="14" max="14" width="7.5703125" style="10" customWidth="1"/>
    <col min="15" max="15" width="39" style="10" bestFit="1" customWidth="1"/>
    <col min="16" max="17" width="11.42578125" style="10"/>
    <col min="18" max="18" width="29.28515625" style="10" bestFit="1" customWidth="1"/>
    <col min="19" max="16384" width="11.42578125" style="10"/>
  </cols>
  <sheetData>
    <row r="1" spans="1:19" ht="30.75" customHeight="1" x14ac:dyDescent="0.25">
      <c r="A1" s="838" t="str">
        <f>Total!C8</f>
        <v>LEMANCEAU_COURT</v>
      </c>
      <c r="B1" s="838"/>
      <c r="C1" s="838"/>
      <c r="D1" s="838"/>
      <c r="E1" s="838"/>
      <c r="F1" s="838"/>
      <c r="G1" s="838"/>
      <c r="H1" s="838"/>
      <c r="I1" s="838"/>
      <c r="J1" s="838"/>
      <c r="K1" s="838"/>
      <c r="L1" s="838"/>
      <c r="M1" s="838"/>
      <c r="N1" s="838"/>
      <c r="O1" s="838"/>
      <c r="P1" s="838"/>
      <c r="Q1" s="838"/>
      <c r="R1" s="838"/>
      <c r="S1" s="838"/>
    </row>
    <row r="2" spans="1:19" ht="21" customHeight="1" thickBot="1" x14ac:dyDescent="0.3">
      <c r="A2" s="354"/>
      <c r="B2" s="354"/>
      <c r="C2" s="354"/>
      <c r="D2" s="354"/>
      <c r="E2" s="354"/>
      <c r="F2" s="354"/>
      <c r="G2" s="601"/>
      <c r="H2" s="601"/>
      <c r="I2" s="601"/>
      <c r="J2" s="354"/>
      <c r="K2" s="354"/>
      <c r="L2" s="354"/>
      <c r="M2" s="354"/>
      <c r="N2" s="354"/>
      <c r="O2" s="354"/>
      <c r="P2" s="354"/>
      <c r="Q2" s="354"/>
      <c r="R2" s="354"/>
      <c r="S2" s="354"/>
    </row>
    <row r="3" spans="1:19" ht="18.75" customHeight="1" x14ac:dyDescent="0.25">
      <c r="A3" s="354"/>
      <c r="B3" s="832"/>
      <c r="C3" s="858" t="s">
        <v>82</v>
      </c>
      <c r="D3" s="859"/>
      <c r="E3" s="859"/>
      <c r="F3" s="859"/>
      <c r="G3" s="859"/>
      <c r="H3" s="859"/>
      <c r="I3" s="859"/>
      <c r="J3" s="859"/>
      <c r="K3" s="860"/>
      <c r="L3" s="354"/>
      <c r="M3" s="354"/>
      <c r="N3" s="354"/>
      <c r="O3" s="354"/>
      <c r="P3" s="354"/>
      <c r="Q3" s="354"/>
      <c r="R3" s="354"/>
    </row>
    <row r="4" spans="1:19" ht="19.5" customHeight="1" thickBot="1" x14ac:dyDescent="0.3">
      <c r="B4" s="864"/>
      <c r="C4" s="861"/>
      <c r="D4" s="862"/>
      <c r="E4" s="862"/>
      <c r="F4" s="862"/>
      <c r="G4" s="862"/>
      <c r="H4" s="862"/>
      <c r="I4" s="862"/>
      <c r="J4" s="862"/>
      <c r="K4" s="863"/>
      <c r="L4" s="204"/>
      <c r="M4" s="204"/>
      <c r="N4" s="204"/>
    </row>
    <row r="5" spans="1:19" ht="15.75" thickBot="1" x14ac:dyDescent="0.3">
      <c r="B5" s="864"/>
      <c r="C5" s="791" t="s">
        <v>157</v>
      </c>
      <c r="D5" s="798"/>
      <c r="E5" s="798"/>
      <c r="F5" s="798"/>
      <c r="G5" s="798"/>
      <c r="H5" s="798"/>
      <c r="I5" s="798"/>
      <c r="J5" s="798"/>
      <c r="K5" s="799"/>
    </row>
    <row r="6" spans="1:19" ht="15.75" thickBot="1" x14ac:dyDescent="0.3">
      <c r="B6" s="792"/>
      <c r="C6" s="355" t="str">
        <f>Total!L4</f>
        <v>SEPM</v>
      </c>
      <c r="D6" s="356" t="str">
        <f>Total!M4</f>
        <v>BOP</v>
      </c>
      <c r="E6" s="356" t="str">
        <f>Total!N4</f>
        <v>PEU_DÉROULAGE</v>
      </c>
      <c r="F6" s="356" t="str">
        <f>Total!O4</f>
        <v>PET</v>
      </c>
      <c r="G6" s="603" t="str">
        <f>Total!P4</f>
        <v>-</v>
      </c>
      <c r="H6" s="603" t="str">
        <f>Total!Q4</f>
        <v>-</v>
      </c>
      <c r="I6" s="603" t="str">
        <f>Total!R4</f>
        <v>-</v>
      </c>
      <c r="J6" s="334" t="str">
        <f>Total!S4</f>
        <v>-</v>
      </c>
      <c r="K6" s="28" t="s">
        <v>41</v>
      </c>
    </row>
    <row r="7" spans="1:19" x14ac:dyDescent="0.25">
      <c r="B7" s="218" t="s">
        <v>8</v>
      </c>
      <c r="C7" s="375">
        <f>Total!L5</f>
        <v>11000</v>
      </c>
      <c r="D7" s="376">
        <f>Total!M5</f>
        <v>2000</v>
      </c>
      <c r="E7" s="376">
        <f>Total!N5</f>
        <v>266</v>
      </c>
      <c r="F7" s="376">
        <f>Total!O5</f>
        <v>2500</v>
      </c>
      <c r="G7" s="376">
        <f>Total!P5</f>
        <v>0</v>
      </c>
      <c r="H7" s="376">
        <f>Total!Q5</f>
        <v>0</v>
      </c>
      <c r="I7" s="376">
        <f>Total!R5</f>
        <v>0</v>
      </c>
      <c r="J7" s="402">
        <f>Total!S5</f>
        <v>0</v>
      </c>
      <c r="K7" s="379">
        <f>Total!L6</f>
        <v>15766</v>
      </c>
    </row>
    <row r="8" spans="1:19" ht="15.75" thickBot="1" x14ac:dyDescent="0.3">
      <c r="B8" s="169" t="s">
        <v>220</v>
      </c>
      <c r="C8" s="372">
        <v>0</v>
      </c>
      <c r="D8" s="373">
        <v>0</v>
      </c>
      <c r="E8" s="373">
        <v>0</v>
      </c>
      <c r="F8" s="373">
        <v>0</v>
      </c>
      <c r="G8" s="597">
        <v>0</v>
      </c>
      <c r="H8" s="597">
        <v>0</v>
      </c>
      <c r="I8" s="597">
        <v>0</v>
      </c>
      <c r="J8" s="374">
        <v>0</v>
      </c>
      <c r="K8" s="380">
        <f>SUM(C8:J8)</f>
        <v>0</v>
      </c>
    </row>
    <row r="9" spans="1:19" x14ac:dyDescent="0.25">
      <c r="C9" s="60"/>
      <c r="D9" s="206"/>
      <c r="E9" s="206"/>
      <c r="F9" s="206"/>
      <c r="G9" s="206"/>
      <c r="H9" s="206"/>
      <c r="I9" s="206"/>
      <c r="J9" s="206"/>
      <c r="K9" s="206"/>
      <c r="L9" s="206"/>
    </row>
    <row r="10" spans="1:19" ht="15.75" thickBot="1" x14ac:dyDescent="0.3">
      <c r="B10" s="838" t="s">
        <v>125</v>
      </c>
      <c r="C10" s="838"/>
      <c r="D10" s="838"/>
      <c r="E10" s="838"/>
      <c r="F10" s="838"/>
      <c r="G10" s="838"/>
      <c r="H10" s="838"/>
      <c r="I10" s="838"/>
      <c r="J10" s="838"/>
      <c r="M10" s="8"/>
      <c r="N10" s="8"/>
    </row>
    <row r="11" spans="1:19" ht="15.75" thickBot="1" x14ac:dyDescent="0.3">
      <c r="B11" s="838"/>
      <c r="C11" s="838"/>
      <c r="D11" s="838"/>
      <c r="E11" s="838"/>
      <c r="F11" s="838"/>
      <c r="G11" s="838"/>
      <c r="H11" s="838"/>
      <c r="I11" s="838"/>
      <c r="J11" s="838"/>
      <c r="O11" s="801" t="s">
        <v>29</v>
      </c>
      <c r="P11" s="803"/>
      <c r="Q11" s="1"/>
      <c r="R11" s="801" t="s">
        <v>5</v>
      </c>
      <c r="S11" s="803"/>
    </row>
    <row r="12" spans="1:19" ht="15" customHeight="1" thickBot="1" x14ac:dyDescent="0.3">
      <c r="A12" s="39" t="s">
        <v>1</v>
      </c>
      <c r="B12" s="130" t="s">
        <v>3</v>
      </c>
      <c r="C12" s="408" t="str">
        <f>Total!L4</f>
        <v>SEPM</v>
      </c>
      <c r="D12" s="409" t="str">
        <f>Total!M4</f>
        <v>BOP</v>
      </c>
      <c r="E12" s="409" t="str">
        <f>Total!N4</f>
        <v>PEU_DÉROULAGE</v>
      </c>
      <c r="F12" s="409" t="str">
        <f>Total!O4</f>
        <v>PET</v>
      </c>
      <c r="G12" s="409" t="str">
        <f>Total!P4</f>
        <v>-</v>
      </c>
      <c r="H12" s="409" t="str">
        <f>Total!Q4</f>
        <v>-</v>
      </c>
      <c r="I12" s="409" t="str">
        <f>Total!R4</f>
        <v>-</v>
      </c>
      <c r="J12" s="410" t="str">
        <f>Total!S4</f>
        <v>-</v>
      </c>
      <c r="O12" s="23" t="s">
        <v>10</v>
      </c>
      <c r="P12" s="148">
        <v>0</v>
      </c>
      <c r="R12" s="27" t="s">
        <v>13</v>
      </c>
      <c r="S12" s="155">
        <v>115</v>
      </c>
    </row>
    <row r="13" spans="1:19" ht="15.75" thickBot="1" x14ac:dyDescent="0.3">
      <c r="A13" s="795" t="s">
        <v>146</v>
      </c>
      <c r="B13" s="259" t="s">
        <v>147</v>
      </c>
      <c r="C13" s="188">
        <v>0</v>
      </c>
      <c r="D13" s="189">
        <v>0</v>
      </c>
      <c r="E13" s="189">
        <v>0</v>
      </c>
      <c r="F13" s="189">
        <v>0</v>
      </c>
      <c r="G13" s="614">
        <v>0</v>
      </c>
      <c r="H13" s="614">
        <v>0</v>
      </c>
      <c r="I13" s="614">
        <v>0</v>
      </c>
      <c r="J13" s="190">
        <v>0</v>
      </c>
      <c r="K13" s="10" t="s">
        <v>2</v>
      </c>
      <c r="L13" s="785" t="s">
        <v>99</v>
      </c>
      <c r="M13" s="787"/>
      <c r="N13" s="8"/>
      <c r="O13" s="25" t="s">
        <v>19</v>
      </c>
      <c r="P13" s="149">
        <v>0</v>
      </c>
      <c r="R13" s="25" t="s">
        <v>14</v>
      </c>
      <c r="S13" s="152">
        <v>0</v>
      </c>
    </row>
    <row r="14" spans="1:19" ht="15.75" thickBot="1" x14ac:dyDescent="0.3">
      <c r="A14" s="805"/>
      <c r="B14" s="178" t="s">
        <v>4</v>
      </c>
      <c r="C14" s="112">
        <f>IF(C7=0,0,IF(C8=0,0,IF($L$14=1,$P$21,0))*(C8/C7))</f>
        <v>0</v>
      </c>
      <c r="D14" s="67">
        <f>IF(D7=0,0,IF(D8=0,0,IF($L$14=1,$P$21,0))*(D8/D7))</f>
        <v>0</v>
      </c>
      <c r="E14" s="67">
        <f>IF(E7=0,0,IF(E8=0,0,IF($L$14=1,$P$21,0))*(E8/E7))</f>
        <v>0</v>
      </c>
      <c r="F14" s="67">
        <f>IF(F7=0,0,IF(F8=0,0,IF($L$14=1,$P$21,0))*(F8/F7))</f>
        <v>0</v>
      </c>
      <c r="G14" s="67">
        <f t="shared" ref="G14:I14" si="0">IF(G7=0,0,IF(G8=0,0,IF($L$14=1,$P$21,0))*(G8/G7))</f>
        <v>0</v>
      </c>
      <c r="H14" s="67">
        <f t="shared" si="0"/>
        <v>0</v>
      </c>
      <c r="I14" s="67">
        <f t="shared" si="0"/>
        <v>0</v>
      </c>
      <c r="J14" s="68">
        <f>IF(J7=0,0,IF(J8=0,0,IF($L$14=1,$P$21,0))*(J8/J7))</f>
        <v>0</v>
      </c>
      <c r="K14" s="10" t="s">
        <v>2</v>
      </c>
      <c r="L14" s="785">
        <v>0</v>
      </c>
      <c r="M14" s="787"/>
      <c r="N14" s="8"/>
      <c r="O14" s="25" t="s">
        <v>11</v>
      </c>
      <c r="P14" s="571">
        <v>0</v>
      </c>
      <c r="R14" s="166" t="s">
        <v>15</v>
      </c>
      <c r="S14" s="292">
        <f>P15</f>
        <v>0</v>
      </c>
    </row>
    <row r="15" spans="1:19" ht="15.75" thickBot="1" x14ac:dyDescent="0.3">
      <c r="A15" s="805"/>
      <c r="B15" s="178" t="s">
        <v>5</v>
      </c>
      <c r="C15" s="112">
        <f>IF(C7=0,0,IF(C8=0,0,$S$15)*(C8/C7))</f>
        <v>0</v>
      </c>
      <c r="D15" s="67">
        <f>IF(D7=0,0,IF(D8=0,0,$S$15)*(D8/D7))</f>
        <v>0</v>
      </c>
      <c r="E15" s="67">
        <f>IF(E7=0,0,IF(E8=0,0,$S$15)*(E8/E7))</f>
        <v>0</v>
      </c>
      <c r="F15" s="67">
        <f>IF(F7=0,0,IF(F8=0,0,$S$15)*(F8/F7))</f>
        <v>0</v>
      </c>
      <c r="G15" s="67">
        <f t="shared" ref="G15:I15" si="1">IF(G7=0,0,IF(G8=0,0,$S$15)*(G8/G7))</f>
        <v>0</v>
      </c>
      <c r="H15" s="67">
        <f t="shared" si="1"/>
        <v>0</v>
      </c>
      <c r="I15" s="67">
        <f t="shared" si="1"/>
        <v>0</v>
      </c>
      <c r="J15" s="68">
        <f>IF(J7=0,0,IF(J8=0,0,$S$15)*(J8/J7))</f>
        <v>0</v>
      </c>
      <c r="K15" s="10" t="s">
        <v>2</v>
      </c>
      <c r="O15" s="25" t="s">
        <v>15</v>
      </c>
      <c r="P15" s="571">
        <v>0</v>
      </c>
      <c r="R15" s="140" t="s">
        <v>20</v>
      </c>
      <c r="S15" s="154" t="e">
        <f>(S12*S13*S14)/K8</f>
        <v>#DIV/0!</v>
      </c>
    </row>
    <row r="16" spans="1:19" ht="15.75" thickBot="1" x14ac:dyDescent="0.3">
      <c r="A16" s="805"/>
      <c r="B16" s="168" t="s">
        <v>6</v>
      </c>
      <c r="C16" s="115">
        <v>0</v>
      </c>
      <c r="D16" s="12">
        <v>0</v>
      </c>
      <c r="E16" s="12">
        <v>0</v>
      </c>
      <c r="F16" s="12">
        <v>0</v>
      </c>
      <c r="G16" s="360">
        <v>0</v>
      </c>
      <c r="H16" s="360">
        <v>0</v>
      </c>
      <c r="I16" s="360">
        <v>0</v>
      </c>
      <c r="J16" s="37">
        <v>0</v>
      </c>
      <c r="K16" s="10" t="s">
        <v>2</v>
      </c>
      <c r="O16" s="137" t="s">
        <v>12</v>
      </c>
      <c r="P16" s="150">
        <f>IF(P15=0,0,((K8/P12)/P13)/P14/P15)</f>
        <v>0</v>
      </c>
    </row>
    <row r="17" spans="1:19" ht="15.75" thickBot="1" x14ac:dyDescent="0.3">
      <c r="A17" s="805"/>
      <c r="B17" s="420" t="s">
        <v>227</v>
      </c>
      <c r="C17" s="112">
        <f>IF(C7=0,0,IF(C8=0,0,$P$26)*(C8/C7))</f>
        <v>0</v>
      </c>
      <c r="D17" s="67">
        <f>IF(D7=0,0,IF(D8=0,0,$P$26)*(D8/D7))</f>
        <v>0</v>
      </c>
      <c r="E17" s="67">
        <f>IF(E7=0,0,IF(E8=0,0,$P$26)*(E8/E7))</f>
        <v>0</v>
      </c>
      <c r="F17" s="67">
        <f>IF(F7=0,0,IF(F8=0,0,$P$26)*(F8/F7))</f>
        <v>0</v>
      </c>
      <c r="G17" s="67">
        <f t="shared" ref="G17:I17" si="2">IF(G7=0,0,IF(G8=0,0,$P$26)*(G8/G7))</f>
        <v>0</v>
      </c>
      <c r="H17" s="67">
        <f t="shared" si="2"/>
        <v>0</v>
      </c>
      <c r="I17" s="67">
        <f t="shared" si="2"/>
        <v>0</v>
      </c>
      <c r="J17" s="68">
        <f>IF(J7=0,0,IF(J8=0,0,$P$26)*(J8/J7))</f>
        <v>0</v>
      </c>
      <c r="K17" s="10" t="s">
        <v>2</v>
      </c>
      <c r="O17" s="126" t="s">
        <v>18</v>
      </c>
      <c r="P17" s="151">
        <v>0</v>
      </c>
      <c r="R17" s="801" t="s">
        <v>22</v>
      </c>
      <c r="S17" s="803"/>
    </row>
    <row r="18" spans="1:19" ht="15.75" thickBot="1" x14ac:dyDescent="0.3">
      <c r="A18" s="805"/>
      <c r="B18" s="260" t="s">
        <v>7</v>
      </c>
      <c r="C18" s="248">
        <v>0</v>
      </c>
      <c r="D18" s="538">
        <v>0</v>
      </c>
      <c r="E18" s="538">
        <v>0</v>
      </c>
      <c r="F18" s="538">
        <v>0</v>
      </c>
      <c r="G18" s="538">
        <v>0</v>
      </c>
      <c r="H18" s="538">
        <v>0</v>
      </c>
      <c r="I18" s="538">
        <v>0</v>
      </c>
      <c r="J18" s="539">
        <v>0</v>
      </c>
      <c r="K18" s="10" t="s">
        <v>2</v>
      </c>
      <c r="O18" s="126" t="s">
        <v>9</v>
      </c>
      <c r="P18" s="151">
        <v>0</v>
      </c>
      <c r="R18" s="157" t="s">
        <v>20</v>
      </c>
      <c r="S18" s="156">
        <f>C16</f>
        <v>0</v>
      </c>
    </row>
    <row r="19" spans="1:19" ht="15.75" thickBot="1" x14ac:dyDescent="0.3">
      <c r="A19" s="805"/>
      <c r="B19" s="191" t="s">
        <v>97</v>
      </c>
      <c r="C19" s="174">
        <f>IF(C8=0,0,(C14+C15+C17)+((C13+C16+C18)*(C8/C7)))</f>
        <v>0</v>
      </c>
      <c r="D19" s="175">
        <f>IF(D8=0,0,(D14+D15+D17)+((D13+D16+D18)*(D8/D7)))</f>
        <v>0</v>
      </c>
      <c r="E19" s="175">
        <f>IF(E8=0,0,(E14+E15+E17)+((E13+E16+E18)*(E8/E7)))</f>
        <v>0</v>
      </c>
      <c r="F19" s="175">
        <f>IF(F8=0,0,(F14+F15+F17)+((F13+F16+F18)*(F8/F7)))</f>
        <v>0</v>
      </c>
      <c r="G19" s="175">
        <f t="shared" ref="G19:I19" si="3">IF(G8=0,0,(G14+G15+G17)+((G13+G16+G18)*(G8/G7)))</f>
        <v>0</v>
      </c>
      <c r="H19" s="175">
        <f t="shared" si="3"/>
        <v>0</v>
      </c>
      <c r="I19" s="175">
        <f t="shared" si="3"/>
        <v>0</v>
      </c>
      <c r="J19" s="176">
        <f>IF(J8=0,0,(J14+J15+J17)+((J13+J16+J18)*(J8/J7)))</f>
        <v>0</v>
      </c>
      <c r="K19" s="10" t="s">
        <v>2</v>
      </c>
      <c r="O19" s="137" t="s">
        <v>16</v>
      </c>
      <c r="P19" s="150">
        <f>IF(L14=1,(P16*P17*P18),0)</f>
        <v>0</v>
      </c>
      <c r="R19" s="45" t="s">
        <v>13</v>
      </c>
      <c r="S19" s="158">
        <v>95</v>
      </c>
    </row>
    <row r="20" spans="1:19" ht="15.75" thickBot="1" x14ac:dyDescent="0.3">
      <c r="A20" s="805"/>
      <c r="B20" s="192" t="s">
        <v>155</v>
      </c>
      <c r="C20" s="86">
        <f>C19*$K$20</f>
        <v>0</v>
      </c>
      <c r="D20" s="65">
        <f t="shared" ref="D20:J20" si="4">D19*$K$20</f>
        <v>0</v>
      </c>
      <c r="E20" s="65">
        <f t="shared" si="4"/>
        <v>0</v>
      </c>
      <c r="F20" s="65">
        <f t="shared" si="4"/>
        <v>0</v>
      </c>
      <c r="G20" s="65">
        <f t="shared" si="4"/>
        <v>0</v>
      </c>
      <c r="H20" s="65">
        <f t="shared" si="4"/>
        <v>0</v>
      </c>
      <c r="I20" s="65">
        <f t="shared" si="4"/>
        <v>0</v>
      </c>
      <c r="J20" s="72">
        <f t="shared" si="4"/>
        <v>0</v>
      </c>
      <c r="K20" s="231">
        <f>Total!V35</f>
        <v>7.0000000000000007E-2</v>
      </c>
      <c r="O20" s="45" t="s">
        <v>17</v>
      </c>
      <c r="P20" s="153">
        <v>0</v>
      </c>
      <c r="R20" s="140" t="s">
        <v>23</v>
      </c>
      <c r="S20" s="154">
        <f>(S18*K8)/S19</f>
        <v>0</v>
      </c>
    </row>
    <row r="21" spans="1:19" ht="15.75" thickBot="1" x14ac:dyDescent="0.3">
      <c r="A21" s="806"/>
      <c r="B21" s="194" t="s">
        <v>41</v>
      </c>
      <c r="C21" s="81">
        <f>IF(C13=0,0,C19+C20)</f>
        <v>0</v>
      </c>
      <c r="D21" s="81">
        <f>IF(D13=0,0,D19+D20)</f>
        <v>0</v>
      </c>
      <c r="E21" s="81">
        <f>IF(E13=0,0,E19+E20)</f>
        <v>0</v>
      </c>
      <c r="F21" s="81">
        <f>IF(F13=0,0,F19+F20)</f>
        <v>0</v>
      </c>
      <c r="G21" s="81">
        <f t="shared" ref="G21:I21" si="5">IF(G13=0,0,G19+G20)</f>
        <v>0</v>
      </c>
      <c r="H21" s="81">
        <f t="shared" si="5"/>
        <v>0</v>
      </c>
      <c r="I21" s="81">
        <f t="shared" si="5"/>
        <v>0</v>
      </c>
      <c r="J21" s="81">
        <f>IF(J13=0,0,J19+J20)</f>
        <v>0</v>
      </c>
      <c r="K21" s="10" t="s">
        <v>2</v>
      </c>
      <c r="O21" s="140" t="s">
        <v>20</v>
      </c>
      <c r="P21" s="154" t="e">
        <f>(P19*P20)/K8</f>
        <v>#DIV/0!</v>
      </c>
    </row>
    <row r="22" spans="1:19" ht="15.75" thickBot="1" x14ac:dyDescent="0.3">
      <c r="R22" s="801" t="s">
        <v>7</v>
      </c>
      <c r="S22" s="803"/>
    </row>
    <row r="23" spans="1:19" ht="15.75" thickBot="1" x14ac:dyDescent="0.3">
      <c r="O23" s="785" t="s">
        <v>223</v>
      </c>
      <c r="P23" s="787"/>
      <c r="R23" s="157" t="s">
        <v>20</v>
      </c>
      <c r="S23" s="156">
        <f>C18</f>
        <v>0</v>
      </c>
    </row>
    <row r="24" spans="1:19" ht="15.75" thickBot="1" x14ac:dyDescent="0.3">
      <c r="O24" s="180" t="s">
        <v>226</v>
      </c>
      <c r="P24" s="424">
        <v>1000</v>
      </c>
      <c r="R24" s="45" t="s">
        <v>13</v>
      </c>
      <c r="S24" s="158">
        <v>95</v>
      </c>
    </row>
    <row r="25" spans="1:19" ht="15.75" thickBot="1" x14ac:dyDescent="0.3">
      <c r="O25" s="295" t="s">
        <v>225</v>
      </c>
      <c r="P25" s="425">
        <v>0.1</v>
      </c>
      <c r="R25" s="140" t="s">
        <v>23</v>
      </c>
      <c r="S25" s="154">
        <f>(S23*K8)/S24</f>
        <v>0</v>
      </c>
    </row>
    <row r="26" spans="1:19" ht="15.75" thickBot="1" x14ac:dyDescent="0.3">
      <c r="O26" s="181" t="s">
        <v>20</v>
      </c>
      <c r="P26" s="252">
        <f>(P25*P24*P18*P16)/K7</f>
        <v>0</v>
      </c>
    </row>
  </sheetData>
  <mergeCells count="13">
    <mergeCell ref="O23:P23"/>
    <mergeCell ref="A13:A21"/>
    <mergeCell ref="R22:S22"/>
    <mergeCell ref="A1:S1"/>
    <mergeCell ref="B10:J11"/>
    <mergeCell ref="O11:P11"/>
    <mergeCell ref="R11:S11"/>
    <mergeCell ref="L13:M13"/>
    <mergeCell ref="L14:M14"/>
    <mergeCell ref="R17:S17"/>
    <mergeCell ref="B3:B6"/>
    <mergeCell ref="C3:K4"/>
    <mergeCell ref="C5:K5"/>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I20"/>
  <sheetViews>
    <sheetView workbookViewId="0">
      <selection activeCell="K14" sqref="K14"/>
    </sheetView>
  </sheetViews>
  <sheetFormatPr baseColWidth="10" defaultRowHeight="15" x14ac:dyDescent="0.25"/>
  <cols>
    <col min="2" max="2" width="18.85546875" bestFit="1" customWidth="1"/>
    <col min="3" max="3" width="15.28515625" bestFit="1" customWidth="1"/>
    <col min="4" max="4" width="20.140625" bestFit="1" customWidth="1"/>
    <col min="7" max="7" width="12.28515625" bestFit="1" customWidth="1"/>
    <col min="9" max="9" width="13.5703125" bestFit="1" customWidth="1"/>
  </cols>
  <sheetData>
    <row r="1" spans="2:9" ht="15.75" thickBot="1" x14ac:dyDescent="0.3"/>
    <row r="2" spans="2:9" ht="19.5" thickBot="1" x14ac:dyDescent="0.35">
      <c r="B2" s="865" t="s">
        <v>58</v>
      </c>
      <c r="C2" s="866"/>
      <c r="D2" s="866"/>
      <c r="E2" s="866"/>
      <c r="F2" s="866"/>
      <c r="G2" s="866"/>
      <c r="H2" s="866"/>
      <c r="I2" s="867"/>
    </row>
    <row r="3" spans="2:9" ht="15.75" thickBot="1" x14ac:dyDescent="0.3">
      <c r="B3" s="106" t="s">
        <v>59</v>
      </c>
      <c r="C3" s="38" t="s">
        <v>60</v>
      </c>
      <c r="D3" s="38" t="s">
        <v>61</v>
      </c>
      <c r="E3" s="38" t="s">
        <v>62</v>
      </c>
      <c r="F3" s="38" t="s">
        <v>63</v>
      </c>
      <c r="G3" s="50" t="s">
        <v>64</v>
      </c>
      <c r="H3" s="28" t="s">
        <v>104</v>
      </c>
      <c r="I3" s="28" t="s">
        <v>145</v>
      </c>
    </row>
    <row r="4" spans="2:9" x14ac:dyDescent="0.25">
      <c r="B4" s="41" t="s">
        <v>65</v>
      </c>
      <c r="C4" s="42">
        <v>18.3</v>
      </c>
      <c r="D4" s="42">
        <v>43</v>
      </c>
      <c r="E4" s="42">
        <v>23.1</v>
      </c>
      <c r="F4" s="42">
        <v>16.2</v>
      </c>
      <c r="G4" s="99">
        <v>23.4</v>
      </c>
      <c r="H4" s="226">
        <v>78.599999999999994</v>
      </c>
      <c r="I4" s="226">
        <v>24.7</v>
      </c>
    </row>
    <row r="5" spans="2:9" x14ac:dyDescent="0.25">
      <c r="B5" s="25" t="s">
        <v>66</v>
      </c>
      <c r="C5" s="43"/>
      <c r="D5" s="44">
        <v>35.700000000000003</v>
      </c>
      <c r="E5" s="43"/>
      <c r="F5" s="43"/>
      <c r="G5" s="100"/>
      <c r="H5" s="43"/>
      <c r="I5" s="43"/>
    </row>
    <row r="6" spans="2:9" x14ac:dyDescent="0.25">
      <c r="B6" s="25" t="s">
        <v>67</v>
      </c>
      <c r="C6" s="44">
        <v>15</v>
      </c>
      <c r="D6" s="44">
        <v>35.700000000000003</v>
      </c>
      <c r="E6" s="44">
        <v>22.2</v>
      </c>
      <c r="F6" s="44">
        <v>14.5</v>
      </c>
      <c r="G6" s="101">
        <v>18.899999999999999</v>
      </c>
      <c r="H6" s="227">
        <v>78.400000000000006</v>
      </c>
      <c r="I6" s="227">
        <v>22.2</v>
      </c>
    </row>
    <row r="7" spans="2:9" x14ac:dyDescent="0.25">
      <c r="B7" s="25" t="s">
        <v>68</v>
      </c>
      <c r="C7" s="43"/>
      <c r="D7" s="44">
        <v>32.5</v>
      </c>
      <c r="E7" s="43"/>
      <c r="F7" s="43"/>
      <c r="G7" s="100"/>
      <c r="H7" s="43"/>
      <c r="I7" s="43"/>
    </row>
    <row r="8" spans="2:9" x14ac:dyDescent="0.25">
      <c r="B8" s="25" t="s">
        <v>69</v>
      </c>
      <c r="C8" s="44">
        <v>12.8</v>
      </c>
      <c r="D8" s="44">
        <v>30.8</v>
      </c>
      <c r="E8" s="44">
        <v>21.7</v>
      </c>
      <c r="F8" s="44">
        <v>13.4</v>
      </c>
      <c r="G8" s="101">
        <v>16</v>
      </c>
      <c r="H8" s="227">
        <v>78.2</v>
      </c>
      <c r="I8" s="227">
        <v>20.399999999999999</v>
      </c>
    </row>
    <row r="9" spans="2:9" x14ac:dyDescent="0.25">
      <c r="B9" s="25" t="s">
        <v>70</v>
      </c>
      <c r="C9" s="43"/>
      <c r="D9" s="43"/>
      <c r="E9" s="43"/>
      <c r="F9" s="43"/>
      <c r="G9" s="100"/>
      <c r="H9" s="43"/>
      <c r="I9" s="43"/>
    </row>
    <row r="10" spans="2:9" x14ac:dyDescent="0.25">
      <c r="B10" s="25" t="s">
        <v>71</v>
      </c>
      <c r="C10" s="44">
        <v>11.3</v>
      </c>
      <c r="D10" s="44">
        <v>27.3</v>
      </c>
      <c r="E10" s="44">
        <v>21.3</v>
      </c>
      <c r="F10" s="44">
        <v>12.6</v>
      </c>
      <c r="G10" s="101">
        <v>14</v>
      </c>
      <c r="H10" s="227">
        <v>78</v>
      </c>
      <c r="I10" s="227">
        <v>19</v>
      </c>
    </row>
    <row r="11" spans="2:9" ht="15.75" thickBot="1" x14ac:dyDescent="0.3">
      <c r="B11" s="45" t="s">
        <v>72</v>
      </c>
      <c r="C11" s="46"/>
      <c r="D11" s="46"/>
      <c r="E11" s="46"/>
      <c r="F11" s="46"/>
      <c r="G11" s="102"/>
      <c r="H11" s="49"/>
      <c r="I11" s="49"/>
    </row>
    <row r="12" spans="2:9" x14ac:dyDescent="0.25">
      <c r="B12" s="27" t="s">
        <v>73</v>
      </c>
      <c r="C12" s="47"/>
      <c r="D12" s="48">
        <v>25.6</v>
      </c>
      <c r="E12" s="47"/>
      <c r="F12" s="48">
        <v>13.5</v>
      </c>
      <c r="G12" s="103">
        <v>24.9</v>
      </c>
      <c r="H12" s="226">
        <v>75</v>
      </c>
      <c r="I12" s="226">
        <v>19.100000000000001</v>
      </c>
    </row>
    <row r="13" spans="2:9" x14ac:dyDescent="0.25">
      <c r="B13" s="25" t="s">
        <v>74</v>
      </c>
      <c r="C13" s="43"/>
      <c r="D13" s="44">
        <v>27.5</v>
      </c>
      <c r="E13" s="43"/>
      <c r="F13" s="44">
        <v>28.5</v>
      </c>
      <c r="G13" s="100"/>
      <c r="H13" s="43"/>
      <c r="I13" s="43"/>
    </row>
    <row r="14" spans="2:9" x14ac:dyDescent="0.25">
      <c r="B14" s="25" t="s">
        <v>75</v>
      </c>
      <c r="C14" s="43"/>
      <c r="D14" s="44">
        <v>22.3</v>
      </c>
      <c r="E14" s="43"/>
      <c r="F14" s="44">
        <v>11</v>
      </c>
      <c r="G14" s="101">
        <v>19.600000000000001</v>
      </c>
      <c r="H14" s="227">
        <v>74.7</v>
      </c>
      <c r="I14" s="227">
        <v>16.600000000000001</v>
      </c>
    </row>
    <row r="15" spans="2:9" x14ac:dyDescent="0.25">
      <c r="B15" s="25" t="s">
        <v>76</v>
      </c>
      <c r="C15" s="43"/>
      <c r="D15" s="44">
        <v>33</v>
      </c>
      <c r="E15" s="43"/>
      <c r="F15" s="43"/>
      <c r="G15" s="100"/>
      <c r="H15" s="43"/>
      <c r="I15" s="43"/>
    </row>
    <row r="16" spans="2:9" x14ac:dyDescent="0.25">
      <c r="B16" s="25" t="s">
        <v>77</v>
      </c>
      <c r="C16" s="43"/>
      <c r="D16" s="44">
        <v>20.2</v>
      </c>
      <c r="E16" s="43"/>
      <c r="F16" s="44">
        <v>9.8000000000000007</v>
      </c>
      <c r="G16" s="101">
        <v>16.600000000000001</v>
      </c>
      <c r="H16" s="227">
        <v>74.400000000000006</v>
      </c>
      <c r="I16" s="227">
        <v>15.1</v>
      </c>
    </row>
    <row r="17" spans="2:9" x14ac:dyDescent="0.25">
      <c r="B17" s="25" t="s">
        <v>78</v>
      </c>
      <c r="C17" s="43"/>
      <c r="D17" s="43"/>
      <c r="E17" s="43"/>
      <c r="F17" s="43"/>
      <c r="G17" s="100"/>
      <c r="H17" s="43"/>
      <c r="I17" s="43"/>
    </row>
    <row r="18" spans="2:9" x14ac:dyDescent="0.25">
      <c r="B18" s="25" t="s">
        <v>79</v>
      </c>
      <c r="C18" s="43"/>
      <c r="D18" s="44">
        <v>18.8</v>
      </c>
      <c r="E18" s="43"/>
      <c r="F18" s="44">
        <v>9</v>
      </c>
      <c r="G18" s="101">
        <v>14.5</v>
      </c>
      <c r="H18" s="227">
        <v>74.3</v>
      </c>
      <c r="I18" s="227">
        <v>14</v>
      </c>
    </row>
    <row r="19" spans="2:9" ht="15.75" thickBot="1" x14ac:dyDescent="0.3">
      <c r="B19" s="26" t="s">
        <v>80</v>
      </c>
      <c r="C19" s="49"/>
      <c r="D19" s="49"/>
      <c r="E19" s="49"/>
      <c r="F19" s="49"/>
      <c r="G19" s="104"/>
      <c r="H19" s="49"/>
      <c r="I19" s="49"/>
    </row>
    <row r="20" spans="2:9" ht="15.75" thickBot="1" x14ac:dyDescent="0.3">
      <c r="B20" s="28" t="s">
        <v>81</v>
      </c>
      <c r="C20" s="88">
        <f>AVERAGE(C4,C6,C8,C10)</f>
        <v>14.349999999999998</v>
      </c>
      <c r="D20" s="88">
        <f>AVERAGE(D4:D8,D10,D12:D16,D18)</f>
        <v>29.366666666666671</v>
      </c>
      <c r="E20" s="88">
        <f>AVERAGE(E4,E6,E8,E10)</f>
        <v>22.074999999999999</v>
      </c>
      <c r="F20" s="88">
        <f xml:space="preserve"> AVERAGE(F4,F6,F8,F10,F12,F13,F14,F16,F18)</f>
        <v>14.277777777777779</v>
      </c>
      <c r="G20" s="105">
        <f xml:space="preserve"> AVERAGE(G4,G6,G8,G10,G12,G14,G16,G18)</f>
        <v>18.487499999999997</v>
      </c>
      <c r="H20" s="88">
        <f xml:space="preserve"> AVERAGE(H4,H6,H8,H10,H12,H14,H16,H18)</f>
        <v>76.449999999999989</v>
      </c>
      <c r="I20" s="88">
        <f xml:space="preserve"> AVERAGE(I4,I6,I8,I10,I12,I14,I16,I18)</f>
        <v>18.887499999999999</v>
      </c>
    </row>
  </sheetData>
  <mergeCells count="1">
    <mergeCell ref="B2:I2"/>
  </mergeCell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5"/>
  <sheetViews>
    <sheetView topLeftCell="C1" workbookViewId="0">
      <pane ySplit="1" topLeftCell="A2" activePane="bottomLeft" state="frozen"/>
      <selection pane="bottomLeft" activeCell="L9" sqref="L9"/>
    </sheetView>
  </sheetViews>
  <sheetFormatPr baseColWidth="10" defaultRowHeight="15" x14ac:dyDescent="0.25"/>
  <cols>
    <col min="1" max="1" width="11.42578125" style="10"/>
    <col min="3" max="3" width="18.140625" bestFit="1" customWidth="1"/>
    <col min="7" max="7" width="13.5703125" customWidth="1"/>
    <col min="8" max="8" width="13.42578125" customWidth="1"/>
    <col min="10" max="10" width="26.5703125" bestFit="1" customWidth="1"/>
    <col min="14" max="14" width="28.42578125" bestFit="1" customWidth="1"/>
  </cols>
  <sheetData>
    <row r="1" spans="1:16" s="10" customFormat="1" ht="36.75" customHeight="1" x14ac:dyDescent="0.25">
      <c r="A1" s="838" t="str">
        <f>Total!C8</f>
        <v>LEMANCEAU_COURT</v>
      </c>
      <c r="B1" s="838"/>
      <c r="C1" s="838"/>
      <c r="D1" s="838"/>
      <c r="E1" s="838"/>
      <c r="F1" s="838"/>
      <c r="G1" s="838"/>
      <c r="H1" s="838"/>
      <c r="I1" s="838"/>
      <c r="J1" s="838"/>
      <c r="K1" s="838"/>
      <c r="L1" s="838"/>
      <c r="M1" s="838"/>
      <c r="N1" s="838"/>
      <c r="O1" s="838"/>
      <c r="P1" s="838"/>
    </row>
    <row r="2" spans="1:16" ht="15.75" customHeight="1" thickBot="1" x14ac:dyDescent="0.3">
      <c r="B2" s="10"/>
      <c r="C2" s="10"/>
      <c r="D2" s="10"/>
      <c r="E2" s="10"/>
      <c r="F2" s="10"/>
      <c r="G2" s="10"/>
      <c r="H2" s="10"/>
      <c r="I2" s="10"/>
      <c r="J2" s="10"/>
      <c r="K2" s="10"/>
      <c r="L2" s="10"/>
      <c r="M2" s="10"/>
      <c r="N2" s="10"/>
    </row>
    <row r="3" spans="1:16" ht="19.5" thickBot="1" x14ac:dyDescent="0.3">
      <c r="B3" s="795" t="s">
        <v>1</v>
      </c>
      <c r="C3" s="778" t="s">
        <v>27</v>
      </c>
      <c r="D3" s="779"/>
      <c r="E3" s="780"/>
      <c r="F3" s="11"/>
      <c r="G3" s="791" t="s">
        <v>82</v>
      </c>
      <c r="H3" s="799"/>
      <c r="I3" s="8"/>
      <c r="J3" s="785" t="s">
        <v>29</v>
      </c>
      <c r="K3" s="786"/>
      <c r="L3" s="787"/>
      <c r="M3" s="10"/>
      <c r="N3" s="785" t="s">
        <v>54</v>
      </c>
      <c r="O3" s="786"/>
      <c r="P3" s="787"/>
    </row>
    <row r="4" spans="1:16" ht="19.5" thickBot="1" x14ac:dyDescent="0.3">
      <c r="B4" s="806"/>
      <c r="C4" s="781"/>
      <c r="D4" s="782"/>
      <c r="E4" s="783"/>
      <c r="F4" s="11"/>
      <c r="G4" s="30" t="s">
        <v>47</v>
      </c>
      <c r="H4" s="6" t="s">
        <v>48</v>
      </c>
      <c r="I4" s="8"/>
      <c r="J4" s="108"/>
      <c r="K4" s="147" t="s">
        <v>47</v>
      </c>
      <c r="L4" s="33" t="s">
        <v>48</v>
      </c>
      <c r="N4" s="108"/>
      <c r="O4" s="64" t="s">
        <v>47</v>
      </c>
      <c r="P4" s="58" t="s">
        <v>48</v>
      </c>
    </row>
    <row r="5" spans="1:16" ht="15.75" thickBot="1" x14ac:dyDescent="0.3">
      <c r="B5" s="795" t="s">
        <v>43</v>
      </c>
      <c r="C5" s="130" t="s">
        <v>3</v>
      </c>
      <c r="D5" s="129" t="s">
        <v>47</v>
      </c>
      <c r="E5" s="35" t="s">
        <v>48</v>
      </c>
      <c r="F5" s="10"/>
      <c r="G5" s="94">
        <f>Total!D6</f>
        <v>15766</v>
      </c>
      <c r="H5" s="95">
        <f>Total!L6</f>
        <v>15766</v>
      </c>
      <c r="I5" s="10"/>
      <c r="J5" s="24" t="s">
        <v>49</v>
      </c>
      <c r="K5" s="109">
        <v>350</v>
      </c>
      <c r="L5" s="37">
        <v>130</v>
      </c>
      <c r="N5" s="161" t="s">
        <v>49</v>
      </c>
      <c r="O5" s="66">
        <f>K5</f>
        <v>350</v>
      </c>
      <c r="P5" s="68">
        <f>L5</f>
        <v>130</v>
      </c>
    </row>
    <row r="6" spans="1:16" x14ac:dyDescent="0.25">
      <c r="B6" s="805"/>
      <c r="C6" s="160" t="s">
        <v>46</v>
      </c>
      <c r="D6" s="82">
        <f>K18</f>
        <v>7.6200000000000004E-2</v>
      </c>
      <c r="E6" s="84">
        <f>L18</f>
        <v>0</v>
      </c>
      <c r="F6" s="10" t="s">
        <v>2</v>
      </c>
      <c r="G6" s="10"/>
      <c r="H6" s="10"/>
      <c r="I6" s="10"/>
      <c r="J6" s="25" t="s">
        <v>98</v>
      </c>
      <c r="K6" s="21">
        <v>50</v>
      </c>
      <c r="L6" s="16">
        <v>50</v>
      </c>
      <c r="N6" s="25" t="s">
        <v>205</v>
      </c>
      <c r="O6" s="21">
        <v>3</v>
      </c>
      <c r="P6" s="16">
        <v>0</v>
      </c>
    </row>
    <row r="7" spans="1:16" ht="15" customHeight="1" thickBot="1" x14ac:dyDescent="0.3">
      <c r="B7" s="805"/>
      <c r="C7" s="197" t="s">
        <v>44</v>
      </c>
      <c r="D7" s="66">
        <f>O10</f>
        <v>5.9400000000000001E-2</v>
      </c>
      <c r="E7" s="113">
        <f>P10</f>
        <v>0</v>
      </c>
      <c r="F7" s="10" t="s">
        <v>2</v>
      </c>
      <c r="G7" s="10"/>
      <c r="H7" s="10"/>
      <c r="I7" s="10"/>
      <c r="J7" s="137" t="s">
        <v>12</v>
      </c>
      <c r="K7" s="66">
        <f>((G5/K5))/K6</f>
        <v>0.90091428571428567</v>
      </c>
      <c r="L7" s="68">
        <f>((H5/L5))/L6</f>
        <v>2.4255384615384616</v>
      </c>
      <c r="N7" s="137" t="s">
        <v>55</v>
      </c>
      <c r="O7" s="66">
        <f>O6*K7</f>
        <v>2.7027428571428569</v>
      </c>
      <c r="P7" s="66">
        <f>P6*L7</f>
        <v>0</v>
      </c>
    </row>
    <row r="8" spans="1:16" ht="15.75" customHeight="1" thickBot="1" x14ac:dyDescent="0.3">
      <c r="B8" s="805"/>
      <c r="C8" s="29" t="s">
        <v>45</v>
      </c>
      <c r="D8" s="109">
        <v>0.01</v>
      </c>
      <c r="E8" s="37">
        <v>0.01</v>
      </c>
      <c r="F8" s="10" t="s">
        <v>2</v>
      </c>
      <c r="G8" s="785" t="s">
        <v>99</v>
      </c>
      <c r="H8" s="787"/>
      <c r="I8" s="10"/>
      <c r="J8" s="126" t="s">
        <v>18</v>
      </c>
      <c r="K8" s="109">
        <v>2</v>
      </c>
      <c r="L8" s="16">
        <v>2</v>
      </c>
      <c r="N8" s="126" t="s">
        <v>56</v>
      </c>
      <c r="O8" s="109">
        <v>630</v>
      </c>
      <c r="P8" s="16">
        <v>150</v>
      </c>
    </row>
    <row r="9" spans="1:16" ht="15.75" thickBot="1" x14ac:dyDescent="0.3">
      <c r="B9" s="805"/>
      <c r="C9" s="161" t="s">
        <v>4</v>
      </c>
      <c r="D9" s="74">
        <f>IF($G$9=1,$K$11,0)</f>
        <v>9.7142857142857135E-3</v>
      </c>
      <c r="E9" s="72">
        <f>IF($G$9=1,$L$11,0)</f>
        <v>3.0769230769230771E-2</v>
      </c>
      <c r="F9" s="10" t="s">
        <v>2</v>
      </c>
      <c r="G9" s="785">
        <v>1</v>
      </c>
      <c r="H9" s="787"/>
      <c r="I9" s="10"/>
      <c r="J9" s="137" t="s">
        <v>16</v>
      </c>
      <c r="K9" s="66">
        <f>IF(G9=1,(K7*K8),0)</f>
        <v>1.8018285714285713</v>
      </c>
      <c r="L9" s="68">
        <f>IF(G9=1,(L7*L8),0)</f>
        <v>4.8510769230769233</v>
      </c>
      <c r="N9" s="137" t="s">
        <v>57</v>
      </c>
      <c r="O9" s="66">
        <v>0.55000000000000004</v>
      </c>
      <c r="P9" s="68">
        <v>0.55000000000000004</v>
      </c>
    </row>
    <row r="10" spans="1:16" ht="15.75" thickBot="1" x14ac:dyDescent="0.3">
      <c r="B10" s="805"/>
      <c r="C10" s="137" t="s">
        <v>39</v>
      </c>
      <c r="D10" s="92">
        <f>SUM(D6:D9)</f>
        <v>0.15531428571428571</v>
      </c>
      <c r="E10" s="93">
        <f>SUM(E6:E9)</f>
        <v>4.0769230769230773E-2</v>
      </c>
      <c r="F10" s="10" t="s">
        <v>2</v>
      </c>
      <c r="I10" s="10"/>
      <c r="J10" s="45" t="s">
        <v>17</v>
      </c>
      <c r="K10" s="22">
        <v>85</v>
      </c>
      <c r="L10" s="20">
        <v>100</v>
      </c>
      <c r="N10" s="140" t="s">
        <v>20</v>
      </c>
      <c r="O10" s="77">
        <f>IF(G5=0,0,(O8*O7*O9)/G5)</f>
        <v>5.9400000000000001E-2</v>
      </c>
      <c r="P10" s="79">
        <f>IF(H5=0,0,(P8*P7*P9)/H5)</f>
        <v>0</v>
      </c>
    </row>
    <row r="11" spans="1:16" ht="15.75" thickBot="1" x14ac:dyDescent="0.3">
      <c r="B11" s="805"/>
      <c r="C11" s="137" t="s">
        <v>154</v>
      </c>
      <c r="D11" s="74">
        <f>D10*$F$11</f>
        <v>1.0872000000000001E-2</v>
      </c>
      <c r="E11" s="74">
        <f>E10*$F$11</f>
        <v>2.8538461538461543E-3</v>
      </c>
      <c r="F11" s="230">
        <f>Total!V35</f>
        <v>7.0000000000000007E-2</v>
      </c>
      <c r="I11" s="10"/>
      <c r="J11" s="140" t="s">
        <v>20</v>
      </c>
      <c r="K11" s="77">
        <f>IF(G5=0,0,(K9*K10)/G5)</f>
        <v>9.7142857142857135E-3</v>
      </c>
      <c r="L11" s="79">
        <f>IF(H5=0,0,(L9*L10)/H5)</f>
        <v>3.0769230769230771E-2</v>
      </c>
    </row>
    <row r="12" spans="1:16" ht="15.75" thickBot="1" x14ac:dyDescent="0.3">
      <c r="B12" s="806"/>
      <c r="C12" s="195" t="s">
        <v>41</v>
      </c>
      <c r="D12" s="80">
        <f>D10+D11</f>
        <v>0.1661862857142857</v>
      </c>
      <c r="E12" s="87">
        <f t="shared" ref="E12" si="0">E10+E11</f>
        <v>4.3623076923076924E-2</v>
      </c>
      <c r="F12" s="10" t="s">
        <v>2</v>
      </c>
      <c r="I12" s="10"/>
    </row>
    <row r="13" spans="1:16" ht="15.75" thickBot="1" x14ac:dyDescent="0.3">
      <c r="G13" s="10"/>
      <c r="H13" s="10"/>
      <c r="I13" s="10"/>
      <c r="J13" s="801" t="s">
        <v>50</v>
      </c>
      <c r="K13" s="802"/>
      <c r="L13" s="803"/>
      <c r="N13" s="358"/>
    </row>
    <row r="14" spans="1:16" x14ac:dyDescent="0.25">
      <c r="G14" s="10"/>
      <c r="H14" s="10"/>
      <c r="I14" s="10"/>
      <c r="J14" s="160" t="s">
        <v>49</v>
      </c>
      <c r="K14" s="92">
        <f>K5</f>
        <v>350</v>
      </c>
      <c r="L14" s="93">
        <f>L5</f>
        <v>130</v>
      </c>
      <c r="N14" s="358"/>
    </row>
    <row r="15" spans="1:16" x14ac:dyDescent="0.25">
      <c r="G15" s="10"/>
      <c r="H15" s="10"/>
      <c r="I15" s="10"/>
      <c r="J15" s="137" t="s">
        <v>51</v>
      </c>
      <c r="K15" s="66">
        <f>G5/K14</f>
        <v>45.045714285714283</v>
      </c>
      <c r="L15" s="68">
        <f>H5/L14</f>
        <v>121.27692307692308</v>
      </c>
      <c r="N15" s="358"/>
    </row>
    <row r="16" spans="1:16" ht="15.75" thickBot="1" x14ac:dyDescent="0.3">
      <c r="G16" s="10"/>
      <c r="H16" s="10"/>
      <c r="I16" s="10"/>
      <c r="J16" s="25" t="s">
        <v>52</v>
      </c>
      <c r="K16" s="21">
        <v>21</v>
      </c>
      <c r="L16" s="16">
        <v>0</v>
      </c>
      <c r="N16" s="358"/>
    </row>
    <row r="17" spans="2:14" ht="15.75" thickBot="1" x14ac:dyDescent="0.3">
      <c r="B17" s="10"/>
      <c r="C17" s="10"/>
      <c r="D17" s="10"/>
      <c r="E17" s="10"/>
      <c r="F17" s="10"/>
      <c r="G17" s="10"/>
      <c r="H17" s="10"/>
      <c r="I17" s="10"/>
      <c r="J17" s="166" t="s">
        <v>53</v>
      </c>
      <c r="K17" s="122">
        <f>K16*M17</f>
        <v>5.67</v>
      </c>
      <c r="L17" s="111">
        <f>L16*M17</f>
        <v>0</v>
      </c>
      <c r="M17" s="359">
        <v>0.27</v>
      </c>
    </row>
    <row r="18" spans="2:14" ht="15.75" thickBot="1" x14ac:dyDescent="0.3">
      <c r="B18" s="10"/>
      <c r="C18" s="10"/>
      <c r="D18" s="10"/>
      <c r="E18" s="10"/>
      <c r="F18" s="10"/>
      <c r="G18" s="10"/>
      <c r="H18" s="10"/>
      <c r="I18" s="10"/>
      <c r="J18" s="140" t="s">
        <v>20</v>
      </c>
      <c r="K18" s="120">
        <f>IF(G5=0,0,((K16+K17)*K15)/G5)</f>
        <v>7.6200000000000004E-2</v>
      </c>
      <c r="L18" s="79">
        <f>IF(H5=0,0,((L16+L17)*L15)/H5)</f>
        <v>0</v>
      </c>
      <c r="N18" s="10"/>
    </row>
    <row r="19" spans="2:14" x14ac:dyDescent="0.25">
      <c r="B19" s="10"/>
      <c r="C19" s="10"/>
      <c r="D19" s="10"/>
      <c r="E19" s="10"/>
      <c r="F19" s="10"/>
      <c r="G19" s="10"/>
      <c r="H19" s="10"/>
      <c r="I19" s="10"/>
      <c r="J19" s="10"/>
      <c r="K19" s="10"/>
      <c r="L19" s="10"/>
      <c r="N19" s="10"/>
    </row>
    <row r="20" spans="2:14" x14ac:dyDescent="0.25">
      <c r="B20" s="10"/>
      <c r="C20" s="10"/>
      <c r="D20" s="10"/>
      <c r="E20" s="10"/>
      <c r="F20" s="10"/>
      <c r="G20" s="10"/>
      <c r="H20" s="10"/>
      <c r="I20" s="10"/>
      <c r="J20" s="10"/>
      <c r="K20" s="10"/>
      <c r="L20" s="10"/>
      <c r="N20" s="10"/>
    </row>
    <row r="21" spans="2:14" x14ac:dyDescent="0.25">
      <c r="B21" s="10"/>
      <c r="C21" s="10"/>
      <c r="D21" s="10"/>
      <c r="E21" s="10"/>
      <c r="F21" s="10"/>
      <c r="G21" s="10"/>
      <c r="H21" s="10"/>
      <c r="I21" s="10"/>
      <c r="M21" s="10"/>
    </row>
    <row r="22" spans="2:14" x14ac:dyDescent="0.25">
      <c r="B22" s="10"/>
      <c r="C22" s="10"/>
      <c r="D22" s="10"/>
      <c r="E22" s="10"/>
      <c r="F22" s="10"/>
      <c r="H22" s="10"/>
      <c r="I22" s="10"/>
      <c r="M22" s="10"/>
    </row>
    <row r="23" spans="2:14" x14ac:dyDescent="0.25">
      <c r="B23" s="10"/>
      <c r="C23" s="10"/>
      <c r="D23" s="10"/>
      <c r="E23" s="10"/>
      <c r="F23" s="10"/>
      <c r="H23" s="10"/>
      <c r="M23" s="10"/>
    </row>
    <row r="24" spans="2:14" x14ac:dyDescent="0.25">
      <c r="C24" s="10"/>
      <c r="D24" s="10"/>
      <c r="E24" s="10"/>
      <c r="F24" s="10"/>
    </row>
    <row r="25" spans="2:14" x14ac:dyDescent="0.25">
      <c r="C25" s="10"/>
      <c r="D25" s="10"/>
      <c r="E25" s="10"/>
      <c r="F25" s="10"/>
    </row>
  </sheetData>
  <mergeCells count="10">
    <mergeCell ref="J13:L13"/>
    <mergeCell ref="A1:P1"/>
    <mergeCell ref="N3:P3"/>
    <mergeCell ref="G3:H3"/>
    <mergeCell ref="G8:H8"/>
    <mergeCell ref="G9:H9"/>
    <mergeCell ref="C3:E4"/>
    <mergeCell ref="B3:B4"/>
    <mergeCell ref="B5:B12"/>
    <mergeCell ref="J3:L3"/>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E1" workbookViewId="0">
      <pane ySplit="1" topLeftCell="A2" activePane="bottomLeft" state="frozen"/>
      <selection pane="bottomLeft" activeCell="L8" sqref="K8:L8"/>
    </sheetView>
  </sheetViews>
  <sheetFormatPr baseColWidth="10" defaultRowHeight="15" x14ac:dyDescent="0.25"/>
  <cols>
    <col min="3" max="3" width="18.140625" bestFit="1" customWidth="1"/>
    <col min="4" max="4" width="11.7109375" customWidth="1"/>
    <col min="5" max="5" width="13.5703125" customWidth="1"/>
    <col min="7" max="7" width="14.28515625" customWidth="1"/>
    <col min="8" max="8" width="12.85546875" customWidth="1"/>
    <col min="10" max="10" width="29.140625" bestFit="1" customWidth="1"/>
    <col min="14" max="14" width="28.42578125" bestFit="1" customWidth="1"/>
  </cols>
  <sheetData>
    <row r="1" spans="1:16" ht="31.5" customHeight="1" x14ac:dyDescent="0.25">
      <c r="A1" s="838" t="str">
        <f>Total!C8</f>
        <v>LEMANCEAU_COURT</v>
      </c>
      <c r="B1" s="838"/>
      <c r="C1" s="838"/>
      <c r="D1" s="838"/>
      <c r="E1" s="838"/>
      <c r="F1" s="838"/>
      <c r="G1" s="838"/>
      <c r="H1" s="838"/>
      <c r="I1" s="838"/>
      <c r="J1" s="838"/>
      <c r="K1" s="838"/>
      <c r="L1" s="838"/>
      <c r="M1" s="838"/>
      <c r="N1" s="838"/>
      <c r="O1" s="838"/>
      <c r="P1" s="838"/>
    </row>
    <row r="2" spans="1:16" s="10" customFormat="1" ht="17.25" customHeight="1" thickBot="1" x14ac:dyDescent="0.3">
      <c r="D2" s="167"/>
      <c r="E2" s="167"/>
      <c r="F2" s="167"/>
      <c r="G2" s="167"/>
      <c r="H2" s="167"/>
      <c r="I2" s="167"/>
      <c r="J2" s="167"/>
      <c r="K2" s="167"/>
      <c r="L2" s="167"/>
    </row>
    <row r="3" spans="1:16" ht="15.75" thickBot="1" x14ac:dyDescent="0.3">
      <c r="G3" s="791" t="s">
        <v>82</v>
      </c>
      <c r="H3" s="799"/>
      <c r="J3" s="785" t="s">
        <v>29</v>
      </c>
      <c r="K3" s="786"/>
      <c r="L3" s="787"/>
      <c r="M3" s="10"/>
      <c r="N3" s="785" t="s">
        <v>54</v>
      </c>
      <c r="O3" s="798"/>
      <c r="P3" s="799"/>
    </row>
    <row r="4" spans="1:16" x14ac:dyDescent="0.25">
      <c r="G4" s="30" t="s">
        <v>47</v>
      </c>
      <c r="H4" s="6" t="s">
        <v>48</v>
      </c>
      <c r="J4" s="108"/>
      <c r="K4" s="64" t="s">
        <v>47</v>
      </c>
      <c r="L4" s="58" t="s">
        <v>48</v>
      </c>
      <c r="M4" s="10"/>
      <c r="N4" s="172"/>
      <c r="O4" s="56" t="s">
        <v>47</v>
      </c>
      <c r="P4" s="58" t="s">
        <v>48</v>
      </c>
    </row>
    <row r="5" spans="1:16" ht="15.75" thickBot="1" x14ac:dyDescent="0.3">
      <c r="G5" s="94">
        <f>Total!D6</f>
        <v>15766</v>
      </c>
      <c r="H5" s="95">
        <f>Total!L6</f>
        <v>15766</v>
      </c>
      <c r="J5" s="137" t="s">
        <v>12</v>
      </c>
      <c r="K5" s="66">
        <f>IF(Débardage!P15&gt;Abattage!P15,Débardage!P15,Abattage!P15)</f>
        <v>22.458689458689459</v>
      </c>
      <c r="L5" s="68">
        <f>IF(Débardage!Q15&gt;Abattage!Q15,Débardage!Q15,Abattage!Q15)</f>
        <v>9.3577872744539405</v>
      </c>
      <c r="M5" s="10"/>
      <c r="N5" s="178" t="s">
        <v>12</v>
      </c>
      <c r="O5" s="112">
        <f>K5</f>
        <v>22.458689458689459</v>
      </c>
      <c r="P5" s="68">
        <f>L5</f>
        <v>9.3577872744539405</v>
      </c>
    </row>
    <row r="6" spans="1:16" ht="18.75" x14ac:dyDescent="0.25">
      <c r="B6" s="795" t="s">
        <v>1</v>
      </c>
      <c r="C6" s="778" t="s">
        <v>27</v>
      </c>
      <c r="D6" s="779"/>
      <c r="E6" s="780"/>
      <c r="F6" s="11"/>
      <c r="J6" s="126" t="s">
        <v>126</v>
      </c>
      <c r="K6" s="109">
        <v>1</v>
      </c>
      <c r="L6" s="37">
        <v>1</v>
      </c>
      <c r="M6" s="10"/>
      <c r="N6" s="179" t="s">
        <v>114</v>
      </c>
      <c r="O6" s="112">
        <v>330</v>
      </c>
      <c r="P6" s="68">
        <v>330</v>
      </c>
    </row>
    <row r="7" spans="1:16" ht="19.5" thickBot="1" x14ac:dyDescent="0.3">
      <c r="B7" s="806"/>
      <c r="C7" s="781"/>
      <c r="D7" s="782"/>
      <c r="E7" s="783"/>
      <c r="F7" s="11"/>
      <c r="J7" s="126" t="s">
        <v>18</v>
      </c>
      <c r="K7" s="109">
        <v>4</v>
      </c>
      <c r="L7" s="16">
        <v>4</v>
      </c>
      <c r="M7" s="10"/>
      <c r="N7" s="180" t="s">
        <v>115</v>
      </c>
      <c r="O7" s="182">
        <v>1.08</v>
      </c>
      <c r="P7" s="146">
        <v>0</v>
      </c>
    </row>
    <row r="8" spans="1:16" ht="15.75" thickBot="1" x14ac:dyDescent="0.3">
      <c r="B8" s="795" t="s">
        <v>111</v>
      </c>
      <c r="C8" s="130" t="s">
        <v>3</v>
      </c>
      <c r="D8" s="129" t="s">
        <v>47</v>
      </c>
      <c r="E8" s="35" t="s">
        <v>48</v>
      </c>
      <c r="F8" s="10"/>
      <c r="J8" s="137" t="s">
        <v>16</v>
      </c>
      <c r="K8" s="66">
        <f>IF(G12=1,(K5*K7*K6),0)</f>
        <v>89.834757834757838</v>
      </c>
      <c r="L8" s="66">
        <f>IF(G12=1,(L5*L7*L6),0)</f>
        <v>37.431149097815762</v>
      </c>
      <c r="M8" s="10"/>
      <c r="N8" s="181" t="s">
        <v>20</v>
      </c>
      <c r="O8" s="120">
        <f>IF(G5=0,0,((((O6)+(O7*17*10))*O5)/G5)*K6)</f>
        <v>0.73162393162393169</v>
      </c>
      <c r="P8" s="79">
        <f>IF(H5=0,0,((((P6)+(P7*17*10))*P5)/H5)*L6)</f>
        <v>0.19586894586894585</v>
      </c>
    </row>
    <row r="9" spans="1:16" ht="15.75" thickBot="1" x14ac:dyDescent="0.3">
      <c r="B9" s="805"/>
      <c r="C9" s="197" t="s">
        <v>46</v>
      </c>
      <c r="D9" s="92">
        <f>K19</f>
        <v>2.2794871794871794</v>
      </c>
      <c r="E9" s="131">
        <f>L19</f>
        <v>0</v>
      </c>
      <c r="F9" s="10" t="s">
        <v>2</v>
      </c>
      <c r="J9" s="45" t="s">
        <v>17</v>
      </c>
      <c r="K9" s="22">
        <v>85</v>
      </c>
      <c r="L9" s="20">
        <v>0</v>
      </c>
      <c r="M9" s="10"/>
      <c r="N9" s="10"/>
      <c r="O9" s="10"/>
      <c r="P9" s="10"/>
    </row>
    <row r="10" spans="1:16" ht="15.75" thickBot="1" x14ac:dyDescent="0.3">
      <c r="B10" s="805"/>
      <c r="C10" s="197" t="s">
        <v>44</v>
      </c>
      <c r="D10" s="66">
        <f>O8</f>
        <v>0.73162393162393169</v>
      </c>
      <c r="E10" s="66">
        <f>P8</f>
        <v>0.19586894586894585</v>
      </c>
      <c r="F10" s="10" t="s">
        <v>2</v>
      </c>
      <c r="J10" s="140" t="s">
        <v>20</v>
      </c>
      <c r="K10" s="77">
        <f>IF(G5=0,0,(K8*K9)/G5)</f>
        <v>0.48433048433048437</v>
      </c>
      <c r="L10" s="79">
        <f>IF(H5=0,0,(L8*L9)/H5)</f>
        <v>0</v>
      </c>
      <c r="M10" s="10"/>
      <c r="N10" s="10"/>
      <c r="O10" s="10"/>
      <c r="P10" s="10"/>
    </row>
    <row r="11" spans="1:16" ht="15.75" thickBot="1" x14ac:dyDescent="0.3">
      <c r="B11" s="805"/>
      <c r="C11" s="29" t="s">
        <v>45</v>
      </c>
      <c r="D11" s="34">
        <v>0</v>
      </c>
      <c r="E11" s="31">
        <v>0</v>
      </c>
      <c r="F11" s="10" t="s">
        <v>2</v>
      </c>
      <c r="G11" s="785" t="s">
        <v>99</v>
      </c>
      <c r="H11" s="787"/>
      <c r="J11" s="10"/>
      <c r="K11" s="10"/>
      <c r="L11" s="10"/>
      <c r="M11" s="10"/>
      <c r="N11" s="10"/>
      <c r="O11" s="10"/>
      <c r="P11" s="10"/>
    </row>
    <row r="12" spans="1:16" ht="15.75" thickBot="1" x14ac:dyDescent="0.3">
      <c r="B12" s="805"/>
      <c r="C12" s="161" t="s">
        <v>4</v>
      </c>
      <c r="D12" s="74">
        <f>IF($G$12=1,$K$10,0)</f>
        <v>0.48433048433048437</v>
      </c>
      <c r="E12" s="98">
        <f>IF($G$12=1,$L$10,0)</f>
        <v>0</v>
      </c>
      <c r="F12" s="10" t="s">
        <v>2</v>
      </c>
      <c r="G12" s="785">
        <v>1</v>
      </c>
      <c r="H12" s="787"/>
      <c r="J12" s="801" t="s">
        <v>50</v>
      </c>
      <c r="K12" s="802"/>
      <c r="L12" s="803"/>
      <c r="M12" s="10"/>
      <c r="N12" s="10"/>
      <c r="O12" s="10"/>
      <c r="P12" s="10"/>
    </row>
    <row r="13" spans="1:16" ht="15.75" thickBot="1" x14ac:dyDescent="0.3">
      <c r="B13" s="805"/>
      <c r="C13" s="137" t="s">
        <v>39</v>
      </c>
      <c r="D13" s="92">
        <f>SUM(D9:D12)</f>
        <v>3.4954415954415956</v>
      </c>
      <c r="E13" s="93">
        <f>SUM(E9:E12)</f>
        <v>0.19586894586894585</v>
      </c>
      <c r="F13" s="10" t="s">
        <v>2</v>
      </c>
      <c r="J13" s="171"/>
      <c r="K13" s="183" t="s">
        <v>47</v>
      </c>
      <c r="L13" s="173" t="s">
        <v>48</v>
      </c>
      <c r="M13" s="10"/>
      <c r="N13" s="10"/>
      <c r="O13" s="10"/>
      <c r="P13" s="10"/>
    </row>
    <row r="14" spans="1:16" ht="15.75" thickBot="1" x14ac:dyDescent="0.3">
      <c r="B14" s="805"/>
      <c r="C14" s="137" t="s">
        <v>40</v>
      </c>
      <c r="D14" s="74">
        <f>D13*$F$14</f>
        <v>0.24468091168091172</v>
      </c>
      <c r="E14" s="74">
        <f>E13*$F$14</f>
        <v>1.3710826210826211E-2</v>
      </c>
      <c r="F14" s="230">
        <f>Total!V35</f>
        <v>7.0000000000000007E-2</v>
      </c>
      <c r="J14" s="160" t="s">
        <v>100</v>
      </c>
      <c r="K14" s="82">
        <f>K5</f>
        <v>22.458689458689459</v>
      </c>
      <c r="L14" s="84">
        <f>L5</f>
        <v>9.3577872744539405</v>
      </c>
      <c r="M14" s="10"/>
      <c r="N14" s="10"/>
      <c r="O14" s="10"/>
      <c r="P14" s="10"/>
    </row>
    <row r="15" spans="1:16" ht="15.75" thickBot="1" x14ac:dyDescent="0.3">
      <c r="B15" s="806"/>
      <c r="C15" s="195" t="s">
        <v>41</v>
      </c>
      <c r="D15" s="80">
        <f>D13+D14</f>
        <v>3.7401225071225075</v>
      </c>
      <c r="E15" s="87">
        <f t="shared" ref="E15" si="0">E13+E14</f>
        <v>0.20957977207977205</v>
      </c>
      <c r="F15" s="10" t="s">
        <v>2</v>
      </c>
      <c r="J15" s="126" t="s">
        <v>101</v>
      </c>
      <c r="K15" s="109">
        <v>45</v>
      </c>
      <c r="L15" s="37">
        <v>0</v>
      </c>
      <c r="M15" s="10"/>
      <c r="N15" s="10"/>
      <c r="O15" s="10"/>
      <c r="P15" s="10"/>
    </row>
    <row r="16" spans="1:16" x14ac:dyDescent="0.25">
      <c r="J16" s="137" t="s">
        <v>127</v>
      </c>
      <c r="K16" s="66">
        <f>K15*K14*K6</f>
        <v>1010.6410256410256</v>
      </c>
      <c r="L16" s="66">
        <f>L15*L14*L6</f>
        <v>0</v>
      </c>
      <c r="M16" s="10"/>
      <c r="N16" s="10"/>
      <c r="O16" s="10"/>
      <c r="P16" s="10"/>
    </row>
    <row r="17" spans="10:13" ht="15.75" thickBot="1" x14ac:dyDescent="0.3">
      <c r="J17" s="25" t="s">
        <v>52</v>
      </c>
      <c r="K17" s="21">
        <v>28</v>
      </c>
      <c r="L17" s="16">
        <v>0</v>
      </c>
      <c r="M17" s="10"/>
    </row>
    <row r="18" spans="10:13" ht="15.75" thickBot="1" x14ac:dyDescent="0.3">
      <c r="J18" s="166" t="s">
        <v>53</v>
      </c>
      <c r="K18" s="122">
        <f>K17*M18</f>
        <v>7.5600000000000005</v>
      </c>
      <c r="L18" s="111">
        <f>L17*M18</f>
        <v>0</v>
      </c>
      <c r="M18" s="359">
        <v>0.27</v>
      </c>
    </row>
    <row r="19" spans="10:13" ht="15.75" thickBot="1" x14ac:dyDescent="0.3">
      <c r="J19" s="140" t="s">
        <v>20</v>
      </c>
      <c r="K19" s="120">
        <f>IF(G5=0,0,((K17+K18)*K16)/G5)</f>
        <v>2.2794871794871794</v>
      </c>
      <c r="L19" s="79">
        <f>IF(H5=0,0,((L17+L18)*L16)/H5)</f>
        <v>0</v>
      </c>
    </row>
  </sheetData>
  <mergeCells count="10">
    <mergeCell ref="A1:P1"/>
    <mergeCell ref="N3:P3"/>
    <mergeCell ref="J12:L12"/>
    <mergeCell ref="G11:H11"/>
    <mergeCell ref="G12:H12"/>
    <mergeCell ref="B6:B7"/>
    <mergeCell ref="C6:E7"/>
    <mergeCell ref="B8:B15"/>
    <mergeCell ref="G3:H3"/>
    <mergeCell ref="J3:L3"/>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workbookViewId="0">
      <pane ySplit="1" topLeftCell="A2" activePane="bottomLeft" state="frozen"/>
      <selection pane="bottomLeft" activeCell="E20" sqref="E20"/>
    </sheetView>
  </sheetViews>
  <sheetFormatPr baseColWidth="10" defaultRowHeight="15" x14ac:dyDescent="0.25"/>
  <cols>
    <col min="2" max="2" width="18.42578125" bestFit="1" customWidth="1"/>
    <col min="3" max="3" width="18.140625" bestFit="1" customWidth="1"/>
    <col min="4" max="4" width="16.85546875" customWidth="1"/>
    <col min="7" max="7" width="14.7109375" customWidth="1"/>
    <col min="9" max="9" width="29.85546875" bestFit="1" customWidth="1"/>
    <col min="10" max="10" width="12.85546875" bestFit="1" customWidth="1"/>
    <col min="11" max="11" width="11.5703125" bestFit="1" customWidth="1"/>
    <col min="12" max="12" width="15.28515625" bestFit="1" customWidth="1"/>
    <col min="13" max="13" width="9.85546875" customWidth="1"/>
    <col min="14" max="14" width="12.5703125" bestFit="1" customWidth="1"/>
  </cols>
  <sheetData>
    <row r="1" spans="1:17" ht="28.5" customHeight="1" thickBot="1" x14ac:dyDescent="0.3">
      <c r="A1" s="838" t="str">
        <f>Total!C8</f>
        <v>LEMANCEAU_COURT</v>
      </c>
      <c r="B1" s="838"/>
      <c r="C1" s="838"/>
      <c r="D1" s="838"/>
      <c r="E1" s="838"/>
      <c r="F1" s="838"/>
      <c r="G1" s="838"/>
      <c r="H1" s="838"/>
      <c r="I1" s="838"/>
      <c r="J1" s="838"/>
      <c r="K1" s="838"/>
      <c r="L1" s="838"/>
      <c r="M1" s="838"/>
      <c r="N1" s="838"/>
      <c r="O1" s="838"/>
      <c r="P1" s="838"/>
      <c r="Q1" s="838"/>
    </row>
    <row r="2" spans="1:17" ht="19.5" thickBot="1" x14ac:dyDescent="0.3">
      <c r="A2" s="10"/>
      <c r="B2" s="10"/>
      <c r="C2" s="10"/>
      <c r="D2" s="228"/>
      <c r="E2" s="228"/>
      <c r="F2" s="228"/>
      <c r="G2" s="228"/>
      <c r="H2" s="228"/>
      <c r="I2" s="228"/>
      <c r="J2" s="228"/>
      <c r="K2" s="10"/>
      <c r="L2" s="10"/>
      <c r="M2" s="10"/>
    </row>
    <row r="3" spans="1:17" ht="15.75" thickBot="1" x14ac:dyDescent="0.3">
      <c r="A3" s="10"/>
      <c r="B3" s="10"/>
      <c r="C3" s="10"/>
      <c r="D3" s="10"/>
      <c r="E3" s="10"/>
      <c r="F3" s="791" t="s">
        <v>82</v>
      </c>
      <c r="G3" s="799"/>
      <c r="H3" s="10"/>
    </row>
    <row r="4" spans="1:17" ht="15.75" thickBot="1" x14ac:dyDescent="0.3">
      <c r="A4" s="10"/>
      <c r="B4" s="10"/>
      <c r="C4" s="10"/>
      <c r="D4" s="10"/>
      <c r="E4" s="10"/>
      <c r="F4" s="868">
        <f>Total!D7</f>
        <v>31532</v>
      </c>
      <c r="G4" s="869"/>
      <c r="H4" s="10"/>
      <c r="I4" s="403" t="s">
        <v>3</v>
      </c>
      <c r="J4" s="268" t="s">
        <v>172</v>
      </c>
      <c r="K4" s="269" t="s">
        <v>173</v>
      </c>
    </row>
    <row r="5" spans="1:17" ht="15.75" thickBot="1" x14ac:dyDescent="0.3">
      <c r="A5" s="10"/>
      <c r="B5" s="10"/>
      <c r="C5" s="10"/>
      <c r="D5" s="10"/>
      <c r="E5" s="10"/>
      <c r="F5" s="205"/>
      <c r="G5" s="205"/>
      <c r="H5" s="10"/>
      <c r="I5" s="405" t="s">
        <v>163</v>
      </c>
      <c r="J5" s="406">
        <v>100000</v>
      </c>
      <c r="K5" s="275">
        <f t="shared" ref="K5:K12" si="0">J5/$F$7</f>
        <v>0.3125</v>
      </c>
      <c r="L5" t="s">
        <v>296</v>
      </c>
    </row>
    <row r="6" spans="1:17" ht="19.5" thickBot="1" x14ac:dyDescent="0.3">
      <c r="A6" s="10"/>
      <c r="B6" s="795" t="s">
        <v>1</v>
      </c>
      <c r="C6" s="778" t="s">
        <v>160</v>
      </c>
      <c r="D6" s="780"/>
      <c r="E6" s="11"/>
      <c r="F6" s="791" t="s">
        <v>174</v>
      </c>
      <c r="G6" s="799"/>
      <c r="H6" s="10"/>
      <c r="I6" s="265" t="s">
        <v>164</v>
      </c>
      <c r="J6" s="404">
        <v>100000</v>
      </c>
      <c r="K6" s="276">
        <f t="shared" si="0"/>
        <v>0.3125</v>
      </c>
      <c r="L6" s="10" t="s">
        <v>296</v>
      </c>
    </row>
    <row r="7" spans="1:17" ht="19.5" thickBot="1" x14ac:dyDescent="0.3">
      <c r="A7" s="10"/>
      <c r="B7" s="805"/>
      <c r="C7" s="870"/>
      <c r="D7" s="857"/>
      <c r="E7" s="11"/>
      <c r="F7" s="871">
        <v>320000</v>
      </c>
      <c r="G7" s="872"/>
      <c r="H7" s="10"/>
      <c r="I7" s="265" t="s">
        <v>161</v>
      </c>
      <c r="J7" s="404">
        <v>0</v>
      </c>
      <c r="K7" s="276">
        <f t="shared" si="0"/>
        <v>0</v>
      </c>
      <c r="L7" s="10" t="s">
        <v>296</v>
      </c>
    </row>
    <row r="8" spans="1:17" x14ac:dyDescent="0.25">
      <c r="A8" s="10"/>
      <c r="B8" s="800" t="s">
        <v>160</v>
      </c>
      <c r="C8" s="5" t="s">
        <v>3</v>
      </c>
      <c r="D8" s="261" t="s">
        <v>2</v>
      </c>
      <c r="E8" s="10"/>
      <c r="F8" s="10"/>
      <c r="G8" s="10"/>
      <c r="H8" s="10"/>
      <c r="I8" s="265" t="s">
        <v>165</v>
      </c>
      <c r="J8" s="404">
        <v>70000</v>
      </c>
      <c r="K8" s="276">
        <f t="shared" si="0"/>
        <v>0.21875</v>
      </c>
      <c r="L8" s="10" t="s">
        <v>296</v>
      </c>
    </row>
    <row r="9" spans="1:17" x14ac:dyDescent="0.25">
      <c r="A9" s="10"/>
      <c r="B9" s="796"/>
      <c r="C9" s="265" t="s">
        <v>163</v>
      </c>
      <c r="D9" s="68">
        <f>K5</f>
        <v>0.3125</v>
      </c>
      <c r="F9" s="10"/>
      <c r="G9" s="10"/>
      <c r="H9" s="10"/>
      <c r="I9" s="3" t="s">
        <v>171</v>
      </c>
      <c r="J9" s="404">
        <v>0</v>
      </c>
      <c r="K9" s="276">
        <f>J9/F4</f>
        <v>0</v>
      </c>
      <c r="L9" t="s">
        <v>230</v>
      </c>
    </row>
    <row r="10" spans="1:17" x14ac:dyDescent="0.25">
      <c r="A10" s="10"/>
      <c r="B10" s="796"/>
      <c r="C10" s="265" t="s">
        <v>164</v>
      </c>
      <c r="D10" s="68">
        <f t="shared" ref="D10:D12" si="1">K6</f>
        <v>0.3125</v>
      </c>
      <c r="E10" s="10"/>
      <c r="F10" s="10"/>
      <c r="G10" s="10"/>
      <c r="H10" s="10"/>
      <c r="I10" s="3" t="s">
        <v>166</v>
      </c>
      <c r="J10" s="404">
        <v>40000</v>
      </c>
      <c r="K10" s="276">
        <f t="shared" si="0"/>
        <v>0.125</v>
      </c>
      <c r="L10" t="s">
        <v>296</v>
      </c>
    </row>
    <row r="11" spans="1:17" x14ac:dyDescent="0.25">
      <c r="A11" s="10"/>
      <c r="B11" s="796"/>
      <c r="C11" s="265" t="s">
        <v>161</v>
      </c>
      <c r="D11" s="68">
        <f t="shared" si="1"/>
        <v>0</v>
      </c>
      <c r="E11" s="10"/>
      <c r="F11" s="10"/>
      <c r="G11" s="10"/>
      <c r="H11" s="10"/>
      <c r="I11" s="3" t="s">
        <v>167</v>
      </c>
      <c r="J11" s="404">
        <v>20000</v>
      </c>
      <c r="K11" s="276">
        <f t="shared" si="0"/>
        <v>6.25E-2</v>
      </c>
      <c r="L11" s="10" t="s">
        <v>296</v>
      </c>
    </row>
    <row r="12" spans="1:17" x14ac:dyDescent="0.25">
      <c r="A12" s="10"/>
      <c r="B12" s="796"/>
      <c r="C12" s="265" t="s">
        <v>165</v>
      </c>
      <c r="D12" s="68">
        <f t="shared" si="1"/>
        <v>0.21875</v>
      </c>
      <c r="E12" s="10"/>
      <c r="F12" s="10"/>
      <c r="G12" s="10"/>
      <c r="H12" s="10"/>
      <c r="I12" s="3" t="s">
        <v>168</v>
      </c>
      <c r="J12" s="404">
        <v>10000</v>
      </c>
      <c r="K12" s="276">
        <f t="shared" si="0"/>
        <v>3.125E-2</v>
      </c>
      <c r="L12" s="10" t="s">
        <v>296</v>
      </c>
    </row>
    <row r="13" spans="1:17" x14ac:dyDescent="0.25">
      <c r="A13" s="10"/>
      <c r="B13" s="796"/>
      <c r="C13" s="265" t="s">
        <v>170</v>
      </c>
      <c r="D13" s="68">
        <f>K13</f>
        <v>0</v>
      </c>
      <c r="E13" s="10"/>
      <c r="F13" s="10"/>
      <c r="G13" s="10"/>
      <c r="H13" s="10"/>
      <c r="I13" s="265" t="s">
        <v>170</v>
      </c>
      <c r="J13" s="404">
        <v>0</v>
      </c>
      <c r="K13" s="276">
        <f>J13/$F$4</f>
        <v>0</v>
      </c>
      <c r="L13" t="s">
        <v>230</v>
      </c>
    </row>
    <row r="14" spans="1:17" ht="15.75" thickBot="1" x14ac:dyDescent="0.3">
      <c r="A14" s="10"/>
      <c r="B14" s="796"/>
      <c r="C14" s="265" t="s">
        <v>169</v>
      </c>
      <c r="D14" s="68">
        <f>K14</f>
        <v>6.2500000000000003E-3</v>
      </c>
      <c r="E14" s="10"/>
      <c r="F14" s="10"/>
      <c r="G14" s="10"/>
      <c r="H14" s="10"/>
      <c r="I14" s="266" t="s">
        <v>169</v>
      </c>
      <c r="J14" s="625">
        <v>2000</v>
      </c>
      <c r="K14" s="276">
        <f>J14/$F$7</f>
        <v>6.2500000000000003E-3</v>
      </c>
      <c r="L14" t="s">
        <v>296</v>
      </c>
    </row>
    <row r="15" spans="1:17" x14ac:dyDescent="0.25">
      <c r="A15" s="10"/>
      <c r="B15" s="796"/>
      <c r="C15" s="265" t="s">
        <v>171</v>
      </c>
      <c r="D15" s="68">
        <f>K9</f>
        <v>0</v>
      </c>
      <c r="E15" s="10"/>
      <c r="F15" s="10"/>
      <c r="G15" s="10"/>
      <c r="H15" s="10"/>
    </row>
    <row r="16" spans="1:17" x14ac:dyDescent="0.25">
      <c r="A16" s="10"/>
      <c r="B16" s="796"/>
      <c r="C16" s="265" t="s">
        <v>166</v>
      </c>
      <c r="D16" s="68">
        <f t="shared" ref="D16" si="2">K10</f>
        <v>0.125</v>
      </c>
      <c r="E16" s="10"/>
      <c r="F16" s="10"/>
      <c r="G16" s="10"/>
      <c r="H16" s="10"/>
    </row>
    <row r="17" spans="1:13" x14ac:dyDescent="0.25">
      <c r="A17" s="10"/>
      <c r="B17" s="796"/>
      <c r="C17" s="265" t="s">
        <v>167</v>
      </c>
      <c r="D17" s="68">
        <f>K11</f>
        <v>6.25E-2</v>
      </c>
      <c r="E17" s="10"/>
      <c r="F17" s="10"/>
      <c r="G17" s="10"/>
      <c r="H17" s="10"/>
    </row>
    <row r="18" spans="1:13" ht="15.75" thickBot="1" x14ac:dyDescent="0.3">
      <c r="A18" s="10"/>
      <c r="B18" s="796"/>
      <c r="C18" s="266" t="s">
        <v>168</v>
      </c>
      <c r="D18" s="72">
        <f>K12</f>
        <v>3.125E-2</v>
      </c>
      <c r="E18" s="10"/>
      <c r="F18" s="10"/>
      <c r="G18" s="10"/>
      <c r="H18" s="10"/>
      <c r="I18" s="10"/>
      <c r="J18" s="10"/>
      <c r="K18" s="10"/>
    </row>
    <row r="19" spans="1:13" ht="15.75" thickBot="1" x14ac:dyDescent="0.3">
      <c r="A19" s="10"/>
      <c r="B19" s="805"/>
      <c r="C19" s="264" t="s">
        <v>39</v>
      </c>
      <c r="D19" s="131">
        <f>IF(F4=0,0,SUM(D9:D18))</f>
        <v>1.0687500000000001</v>
      </c>
      <c r="E19" s="10"/>
      <c r="F19" s="10"/>
      <c r="G19" s="10"/>
      <c r="H19" s="10"/>
      <c r="I19" s="10"/>
      <c r="J19" s="10"/>
      <c r="K19" s="10"/>
    </row>
    <row r="20" spans="1:13" ht="15.75" thickBot="1" x14ac:dyDescent="0.3">
      <c r="A20" s="10"/>
      <c r="B20" s="805"/>
      <c r="C20" s="262" t="s">
        <v>156</v>
      </c>
      <c r="D20" s="229">
        <f>D19*E20</f>
        <v>3.2062500000000001E-2</v>
      </c>
      <c r="E20" s="231">
        <f>Total!V57</f>
        <v>0.03</v>
      </c>
      <c r="F20" s="10"/>
      <c r="G20" s="10"/>
      <c r="H20" s="10"/>
      <c r="I20" s="10"/>
      <c r="J20" s="10"/>
      <c r="K20" s="10"/>
      <c r="L20" s="10"/>
      <c r="M20" s="10"/>
    </row>
    <row r="21" spans="1:13" ht="15.75" thickBot="1" x14ac:dyDescent="0.3">
      <c r="A21" s="10"/>
      <c r="B21" s="806"/>
      <c r="C21" s="263" t="s">
        <v>41</v>
      </c>
      <c r="D21" s="217">
        <f>D19+D20</f>
        <v>1.1008125000000002</v>
      </c>
      <c r="E21" s="110"/>
      <c r="F21" s="10"/>
      <c r="G21" s="10"/>
      <c r="H21" s="10"/>
      <c r="I21" s="10"/>
      <c r="J21" s="10"/>
      <c r="K21" s="10"/>
      <c r="L21" s="10"/>
      <c r="M21" s="10"/>
    </row>
    <row r="22" spans="1:13" x14ac:dyDescent="0.25">
      <c r="A22" s="10"/>
      <c r="B22" s="10"/>
      <c r="C22" s="10"/>
      <c r="D22" s="10"/>
      <c r="E22" s="10"/>
      <c r="F22" s="10"/>
      <c r="G22" s="10"/>
      <c r="H22" s="10"/>
      <c r="I22" s="10"/>
      <c r="J22" s="10"/>
      <c r="K22" s="10"/>
      <c r="L22" s="10"/>
      <c r="M22" s="10"/>
    </row>
    <row r="23" spans="1:13" x14ac:dyDescent="0.25">
      <c r="A23" s="10"/>
      <c r="B23" s="10"/>
      <c r="C23" s="10"/>
      <c r="D23" s="10"/>
      <c r="E23" s="10"/>
      <c r="H23" s="10"/>
      <c r="L23" s="10"/>
      <c r="M23" s="10"/>
    </row>
    <row r="24" spans="1:13" x14ac:dyDescent="0.25">
      <c r="A24" s="10"/>
      <c r="B24" s="10"/>
      <c r="C24" s="10"/>
      <c r="D24" s="10"/>
      <c r="E24" s="10"/>
      <c r="H24" s="10"/>
      <c r="L24" s="10"/>
      <c r="M24" s="10"/>
    </row>
    <row r="25" spans="1:13" x14ac:dyDescent="0.25">
      <c r="C25" s="10"/>
      <c r="D25" s="10"/>
    </row>
    <row r="26" spans="1:13" x14ac:dyDescent="0.25">
      <c r="C26" s="10"/>
      <c r="D26" s="10"/>
    </row>
    <row r="27" spans="1:13" x14ac:dyDescent="0.25">
      <c r="C27" s="10"/>
      <c r="D27" s="10"/>
    </row>
    <row r="28" spans="1:13" x14ac:dyDescent="0.25">
      <c r="C28" s="10"/>
      <c r="D28" s="10"/>
    </row>
    <row r="29" spans="1:13" x14ac:dyDescent="0.25">
      <c r="C29" s="10"/>
      <c r="D29" s="10"/>
    </row>
    <row r="30" spans="1:13" x14ac:dyDescent="0.25">
      <c r="C30" s="10"/>
      <c r="D30" s="10"/>
    </row>
  </sheetData>
  <mergeCells count="8">
    <mergeCell ref="F3:G3"/>
    <mergeCell ref="B8:B21"/>
    <mergeCell ref="A1:Q1"/>
    <mergeCell ref="F4:G4"/>
    <mergeCell ref="B6:B7"/>
    <mergeCell ref="C6:D7"/>
    <mergeCell ref="F6:G6"/>
    <mergeCell ref="F7:G7"/>
  </mergeCell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opLeftCell="I1" workbookViewId="0">
      <pane ySplit="1" topLeftCell="A2" activePane="bottomLeft" state="frozen"/>
      <selection pane="bottomLeft" activeCell="X15" sqref="X15"/>
    </sheetView>
  </sheetViews>
  <sheetFormatPr baseColWidth="10" defaultRowHeight="15" x14ac:dyDescent="0.25"/>
  <cols>
    <col min="1" max="1" width="11.85546875" bestFit="1" customWidth="1"/>
    <col min="2" max="2" width="23.7109375" bestFit="1" customWidth="1"/>
    <col min="3" max="3" width="14.85546875" customWidth="1"/>
    <col min="4" max="4" width="11.28515625" bestFit="1" customWidth="1"/>
    <col min="5" max="6" width="13.140625" bestFit="1" customWidth="1"/>
    <col min="7" max="9" width="13.140625" style="10" customWidth="1"/>
    <col min="10" max="10" width="13.140625" bestFit="1" customWidth="1"/>
    <col min="11" max="18" width="13.140625" style="10" customWidth="1"/>
    <col min="19" max="19" width="14.42578125" customWidth="1"/>
    <col min="20" max="20" width="14.7109375" customWidth="1"/>
    <col min="21" max="21" width="12.42578125" customWidth="1"/>
    <col min="23" max="23" width="39" bestFit="1" customWidth="1"/>
    <col min="26" max="26" width="29.28515625" bestFit="1" customWidth="1"/>
  </cols>
  <sheetData>
    <row r="1" spans="1:28" ht="32.25" customHeight="1" thickBot="1" x14ac:dyDescent="0.3">
      <c r="A1" s="838" t="str">
        <f>Total!C8</f>
        <v>LEMANCEAU_COURT</v>
      </c>
      <c r="B1" s="838"/>
      <c r="C1" s="838"/>
      <c r="D1" s="838"/>
      <c r="E1" s="838"/>
      <c r="F1" s="838"/>
      <c r="G1" s="838"/>
      <c r="H1" s="838"/>
      <c r="I1" s="838"/>
      <c r="J1" s="838"/>
      <c r="K1" s="838"/>
      <c r="L1" s="838"/>
      <c r="M1" s="838"/>
      <c r="N1" s="838"/>
      <c r="O1" s="838"/>
      <c r="P1" s="838"/>
      <c r="Q1" s="838"/>
      <c r="R1" s="838"/>
      <c r="S1" s="838"/>
      <c r="T1" s="838"/>
      <c r="U1" s="838"/>
      <c r="V1" s="838"/>
      <c r="W1" s="838"/>
      <c r="X1" s="838"/>
      <c r="Y1" s="838"/>
      <c r="Z1" s="838"/>
      <c r="AA1" s="838"/>
      <c r="AB1" s="838"/>
    </row>
    <row r="2" spans="1:28" s="10" customFormat="1" ht="18.75" customHeight="1" thickBot="1" x14ac:dyDescent="0.3">
      <c r="A2" s="279"/>
      <c r="B2" s="279"/>
      <c r="C2" s="873" t="s">
        <v>82</v>
      </c>
      <c r="D2" s="874"/>
      <c r="E2" s="874"/>
      <c r="F2" s="874"/>
      <c r="G2" s="874"/>
      <c r="H2" s="874"/>
      <c r="I2" s="874"/>
      <c r="J2" s="874"/>
      <c r="K2" s="874"/>
      <c r="L2" s="874"/>
      <c r="M2" s="874"/>
      <c r="N2" s="874"/>
      <c r="O2" s="874"/>
      <c r="P2" s="874"/>
      <c r="Q2" s="874"/>
      <c r="R2" s="875"/>
      <c r="S2" s="279"/>
      <c r="T2" s="279"/>
      <c r="U2" s="279"/>
      <c r="V2" s="279"/>
      <c r="W2" s="279"/>
      <c r="X2" s="279"/>
      <c r="Y2" s="279"/>
      <c r="Z2" s="279"/>
      <c r="AA2" s="279"/>
      <c r="AB2" s="279"/>
    </row>
    <row r="3" spans="1:28" s="10" customFormat="1" ht="14.25" customHeight="1" thickBot="1" x14ac:dyDescent="0.3">
      <c r="A3" s="279"/>
      <c r="B3" s="279"/>
      <c r="C3" s="791" t="s">
        <v>112</v>
      </c>
      <c r="D3" s="798"/>
      <c r="E3" s="798"/>
      <c r="F3" s="798"/>
      <c r="G3" s="798"/>
      <c r="H3" s="798"/>
      <c r="I3" s="798"/>
      <c r="J3" s="799"/>
      <c r="K3" s="791" t="s">
        <v>157</v>
      </c>
      <c r="L3" s="798"/>
      <c r="M3" s="798"/>
      <c r="N3" s="798"/>
      <c r="O3" s="798"/>
      <c r="P3" s="798"/>
      <c r="Q3" s="798"/>
      <c r="R3" s="799"/>
      <c r="S3" s="279"/>
      <c r="T3" s="279"/>
      <c r="U3" s="279"/>
      <c r="V3" s="279"/>
      <c r="W3" s="279"/>
      <c r="X3" s="279"/>
      <c r="Y3" s="279"/>
      <c r="Z3" s="279"/>
      <c r="AA3" s="279"/>
      <c r="AB3" s="279"/>
    </row>
    <row r="4" spans="1:28" s="10" customFormat="1" ht="15.75" customHeight="1" thickBot="1" x14ac:dyDescent="0.3">
      <c r="A4" s="167"/>
      <c r="B4" s="167"/>
      <c r="C4" s="280" t="str">
        <f>Total!D4</f>
        <v>SEPM</v>
      </c>
      <c r="D4" s="281" t="str">
        <f>Total!E4</f>
        <v>BOP</v>
      </c>
      <c r="E4" s="281" t="str">
        <f>Total!F4</f>
        <v>PEU_DÉROULAGE</v>
      </c>
      <c r="F4" s="281" t="str">
        <f>Total!G4</f>
        <v>PET</v>
      </c>
      <c r="G4" s="603" t="str">
        <f>Total!H4</f>
        <v>-</v>
      </c>
      <c r="H4" s="603" t="str">
        <f>Total!I4</f>
        <v>-</v>
      </c>
      <c r="I4" s="603" t="str">
        <f>Total!J4</f>
        <v>-</v>
      </c>
      <c r="J4" s="334" t="str">
        <f>Total!K4</f>
        <v>-</v>
      </c>
      <c r="K4" s="280" t="str">
        <f>Total!L4</f>
        <v>SEPM</v>
      </c>
      <c r="L4" s="281" t="str">
        <f>Total!M4</f>
        <v>BOP</v>
      </c>
      <c r="M4" s="281" t="str">
        <f>Total!N4</f>
        <v>PEU_DÉROULAGE</v>
      </c>
      <c r="N4" s="281" t="str">
        <f>Total!O4</f>
        <v>PET</v>
      </c>
      <c r="O4" s="603" t="str">
        <f>Total!P4</f>
        <v>-</v>
      </c>
      <c r="P4" s="603" t="str">
        <f>Total!Q4</f>
        <v>-</v>
      </c>
      <c r="Q4" s="603" t="str">
        <f>Total!R4</f>
        <v>-</v>
      </c>
      <c r="R4" s="334" t="str">
        <f>Total!S4</f>
        <v>-</v>
      </c>
      <c r="S4" s="347" t="s">
        <v>41</v>
      </c>
      <c r="T4" s="167"/>
      <c r="U4" s="167"/>
      <c r="V4" s="167"/>
      <c r="W4" s="167"/>
      <c r="X4" s="167"/>
      <c r="Y4" s="167"/>
      <c r="Z4" s="167"/>
      <c r="AA4" s="167"/>
      <c r="AB4" s="167"/>
    </row>
    <row r="5" spans="1:28" ht="15.75" thickBot="1" x14ac:dyDescent="0.3">
      <c r="A5" s="10"/>
      <c r="B5" s="10"/>
      <c r="C5" s="630">
        <f>Total!D5</f>
        <v>11000</v>
      </c>
      <c r="D5" s="631">
        <f>Total!E5</f>
        <v>2000</v>
      </c>
      <c r="E5" s="631">
        <f>Total!F5</f>
        <v>266</v>
      </c>
      <c r="F5" s="631">
        <f>Total!G5</f>
        <v>2500</v>
      </c>
      <c r="G5" s="631">
        <f>Total!H5</f>
        <v>0</v>
      </c>
      <c r="H5" s="631">
        <f>Total!I5</f>
        <v>0</v>
      </c>
      <c r="I5" s="631">
        <f>Total!J5</f>
        <v>0</v>
      </c>
      <c r="J5" s="632">
        <f>Total!K5</f>
        <v>0</v>
      </c>
      <c r="K5" s="630">
        <f>Total!L5</f>
        <v>11000</v>
      </c>
      <c r="L5" s="631">
        <f>Total!M5</f>
        <v>2000</v>
      </c>
      <c r="M5" s="631">
        <f>Total!N5</f>
        <v>266</v>
      </c>
      <c r="N5" s="631">
        <f>Total!O5</f>
        <v>2500</v>
      </c>
      <c r="O5" s="631">
        <f>Total!P5</f>
        <v>0</v>
      </c>
      <c r="P5" s="631">
        <f>Total!Q5</f>
        <v>0</v>
      </c>
      <c r="Q5" s="631">
        <f>Total!R5</f>
        <v>0</v>
      </c>
      <c r="R5" s="633">
        <f>Total!S5</f>
        <v>0</v>
      </c>
      <c r="S5" s="634">
        <f>SUM(C5:R5)</f>
        <v>31532</v>
      </c>
      <c r="T5" s="10"/>
      <c r="U5" s="10"/>
      <c r="V5" s="10"/>
      <c r="W5" s="10"/>
      <c r="X5" s="10"/>
      <c r="Y5" s="10"/>
      <c r="Z5" s="10"/>
      <c r="AA5" s="10"/>
    </row>
    <row r="6" spans="1:28" s="10" customFormat="1" ht="15.75" thickBot="1" x14ac:dyDescent="0.3">
      <c r="B6" s="28" t="s">
        <v>333</v>
      </c>
      <c r="C6" s="572">
        <f>C5*(C12/1000)</f>
        <v>9680</v>
      </c>
      <c r="D6" s="573">
        <f t="shared" ref="D6:J6" si="0">D5*(D12/1000)</f>
        <v>2160</v>
      </c>
      <c r="E6" s="573">
        <f t="shared" si="0"/>
        <v>247.38000000000002</v>
      </c>
      <c r="F6" s="573">
        <f t="shared" si="0"/>
        <v>2325</v>
      </c>
      <c r="G6" s="573">
        <f t="shared" si="0"/>
        <v>0</v>
      </c>
      <c r="H6" s="573">
        <f t="shared" si="0"/>
        <v>0</v>
      </c>
      <c r="I6" s="573">
        <f t="shared" si="0"/>
        <v>0</v>
      </c>
      <c r="J6" s="574">
        <f t="shared" si="0"/>
        <v>0</v>
      </c>
      <c r="K6" s="572">
        <f t="shared" ref="K6" si="1">K5*(K12/1000)</f>
        <v>0</v>
      </c>
      <c r="L6" s="573">
        <f t="shared" ref="L6" si="2">L5*(L12/1000)</f>
        <v>0</v>
      </c>
      <c r="M6" s="573">
        <f t="shared" ref="M6" si="3">M5*(M12/1000)</f>
        <v>0</v>
      </c>
      <c r="N6" s="573">
        <f t="shared" ref="N6" si="4">N5*(N12/1000)</f>
        <v>0</v>
      </c>
      <c r="O6" s="573">
        <f t="shared" ref="O6" si="5">O5*(O12/1000)</f>
        <v>0</v>
      </c>
      <c r="P6" s="573">
        <f t="shared" ref="P6" si="6">P5*(P12/1000)</f>
        <v>0</v>
      </c>
      <c r="Q6" s="573">
        <f t="shared" ref="Q6" si="7">Q5*(Q12/1000)</f>
        <v>0</v>
      </c>
      <c r="R6" s="575">
        <f t="shared" ref="R6" si="8">R5*(R12/1000)</f>
        <v>0</v>
      </c>
      <c r="S6" s="635">
        <f>SUM(C6:R6)</f>
        <v>14412.38</v>
      </c>
    </row>
    <row r="7" spans="1:28" s="10" customFormat="1" ht="15.75" thickBot="1" x14ac:dyDescent="0.3">
      <c r="S7" s="60"/>
    </row>
    <row r="8" spans="1:28" ht="15.75" customHeight="1" thickBot="1" x14ac:dyDescent="0.3">
      <c r="A8" s="10"/>
      <c r="B8" s="778" t="s">
        <v>328</v>
      </c>
      <c r="C8" s="779"/>
      <c r="D8" s="779"/>
      <c r="E8" s="779"/>
      <c r="F8" s="779"/>
      <c r="G8" s="779"/>
      <c r="H8" s="779"/>
      <c r="I8" s="779"/>
      <c r="J8" s="779"/>
      <c r="K8" s="779"/>
      <c r="L8" s="779"/>
      <c r="M8" s="779"/>
      <c r="N8" s="779"/>
      <c r="O8" s="779"/>
      <c r="P8" s="779"/>
      <c r="Q8" s="779"/>
      <c r="R8" s="780"/>
      <c r="S8" s="278"/>
      <c r="T8" s="8"/>
      <c r="U8" s="8"/>
      <c r="V8" s="10"/>
      <c r="W8" s="10"/>
      <c r="X8" s="10"/>
      <c r="Y8" s="10"/>
      <c r="Z8" s="10"/>
      <c r="AA8" s="10"/>
    </row>
    <row r="9" spans="1:28" ht="15.75" customHeight="1" thickBot="1" x14ac:dyDescent="0.3">
      <c r="A9" s="10"/>
      <c r="B9" s="781"/>
      <c r="C9" s="782"/>
      <c r="D9" s="782"/>
      <c r="E9" s="782"/>
      <c r="F9" s="782"/>
      <c r="G9" s="782"/>
      <c r="H9" s="782"/>
      <c r="I9" s="782"/>
      <c r="J9" s="782"/>
      <c r="K9" s="850"/>
      <c r="L9" s="850"/>
      <c r="M9" s="850"/>
      <c r="N9" s="850"/>
      <c r="O9" s="850"/>
      <c r="P9" s="850"/>
      <c r="Q9" s="850"/>
      <c r="R9" s="857"/>
      <c r="S9" s="10"/>
      <c r="T9" s="10"/>
      <c r="U9" s="10"/>
      <c r="V9" s="10"/>
      <c r="W9" s="785" t="s">
        <v>29</v>
      </c>
      <c r="X9" s="787"/>
      <c r="Y9" s="1"/>
      <c r="Z9" s="801" t="s">
        <v>5</v>
      </c>
      <c r="AA9" s="803"/>
      <c r="AB9" s="10"/>
    </row>
    <row r="10" spans="1:28" ht="15.75" thickBot="1" x14ac:dyDescent="0.3">
      <c r="A10" s="39" t="s">
        <v>1</v>
      </c>
      <c r="B10" s="130" t="s">
        <v>3</v>
      </c>
      <c r="C10" s="408" t="str">
        <f>Total!D4</f>
        <v>SEPM</v>
      </c>
      <c r="D10" s="409" t="str">
        <f>Total!E4</f>
        <v>BOP</v>
      </c>
      <c r="E10" s="409" t="str">
        <f>Total!F4</f>
        <v>PEU_DÉROULAGE</v>
      </c>
      <c r="F10" s="409" t="str">
        <f>Total!G4</f>
        <v>PET</v>
      </c>
      <c r="G10" s="409" t="str">
        <f>Total!H4</f>
        <v>-</v>
      </c>
      <c r="H10" s="409" t="str">
        <f>Total!I4</f>
        <v>-</v>
      </c>
      <c r="I10" s="409" t="str">
        <f>Total!J4</f>
        <v>-</v>
      </c>
      <c r="J10" s="426" t="str">
        <f>Total!K4</f>
        <v>-</v>
      </c>
      <c r="K10" s="408" t="str">
        <f>K4</f>
        <v>SEPM</v>
      </c>
      <c r="L10" s="554" t="str">
        <f>L4</f>
        <v>BOP</v>
      </c>
      <c r="M10" s="554" t="str">
        <f>M4</f>
        <v>PEU_DÉROULAGE</v>
      </c>
      <c r="N10" s="554" t="str">
        <f>N4</f>
        <v>PET</v>
      </c>
      <c r="O10" s="554" t="str">
        <f t="shared" ref="O10:Q10" si="9">O4</f>
        <v>-</v>
      </c>
      <c r="P10" s="554" t="str">
        <f t="shared" si="9"/>
        <v>-</v>
      </c>
      <c r="Q10" s="554" t="str">
        <f t="shared" si="9"/>
        <v>-</v>
      </c>
      <c r="R10" s="555" t="str">
        <f>R4</f>
        <v>-</v>
      </c>
      <c r="S10" s="10"/>
      <c r="T10" s="10"/>
      <c r="U10" s="10"/>
      <c r="V10" s="10"/>
      <c r="W10" s="23" t="s">
        <v>10</v>
      </c>
      <c r="X10" s="155">
        <v>78.400000000000006</v>
      </c>
      <c r="Y10" s="10"/>
      <c r="Z10" s="27" t="s">
        <v>13</v>
      </c>
      <c r="AA10" s="155">
        <v>115</v>
      </c>
      <c r="AB10" s="10"/>
    </row>
    <row r="11" spans="1:28" x14ac:dyDescent="0.25">
      <c r="A11" s="795" t="s">
        <v>105</v>
      </c>
      <c r="B11" s="638" t="s">
        <v>106</v>
      </c>
      <c r="C11" s="119">
        <v>2.06</v>
      </c>
      <c r="D11" s="18">
        <v>2.11</v>
      </c>
      <c r="E11" s="18">
        <v>2.13</v>
      </c>
      <c r="F11" s="18">
        <v>2.11</v>
      </c>
      <c r="G11" s="18">
        <v>0</v>
      </c>
      <c r="H11" s="18">
        <v>0</v>
      </c>
      <c r="I11" s="18">
        <v>0</v>
      </c>
      <c r="J11" s="19">
        <v>0</v>
      </c>
      <c r="K11" s="650">
        <v>2.06</v>
      </c>
      <c r="L11" s="18">
        <v>2.11</v>
      </c>
      <c r="M11" s="18">
        <v>2.13</v>
      </c>
      <c r="N11" s="18">
        <v>2.11</v>
      </c>
      <c r="O11" s="18">
        <v>0</v>
      </c>
      <c r="P11" s="18">
        <v>0</v>
      </c>
      <c r="Q11" s="18">
        <v>0</v>
      </c>
      <c r="R11" s="19">
        <v>0</v>
      </c>
      <c r="S11" s="10" t="s">
        <v>107</v>
      </c>
      <c r="V11" s="8"/>
      <c r="W11" s="29" t="s">
        <v>334</v>
      </c>
      <c r="X11" s="155">
        <f>X10*(SUMPRODUCT(C12:R12,C5:R5)/(SUM(C5:R5)))/1000</f>
        <v>35.8344092350628</v>
      </c>
      <c r="Y11" s="10"/>
      <c r="Z11" s="25" t="s">
        <v>14</v>
      </c>
      <c r="AA11" s="152">
        <v>18</v>
      </c>
      <c r="AB11" s="10"/>
    </row>
    <row r="12" spans="1:28" ht="15.75" thickBot="1" x14ac:dyDescent="0.3">
      <c r="A12" s="805"/>
      <c r="B12" s="639" t="s">
        <v>108</v>
      </c>
      <c r="C12" s="132">
        <v>880</v>
      </c>
      <c r="D12" s="12">
        <v>1080</v>
      </c>
      <c r="E12" s="12">
        <v>930</v>
      </c>
      <c r="F12" s="12">
        <v>930</v>
      </c>
      <c r="G12" s="12">
        <v>0</v>
      </c>
      <c r="H12" s="12">
        <v>0</v>
      </c>
      <c r="I12" s="12">
        <v>0</v>
      </c>
      <c r="J12" s="37">
        <v>0</v>
      </c>
      <c r="K12" s="109">
        <v>0</v>
      </c>
      <c r="L12" s="12">
        <v>0</v>
      </c>
      <c r="M12" s="12">
        <v>0</v>
      </c>
      <c r="N12" s="12">
        <v>0</v>
      </c>
      <c r="O12" s="12">
        <v>0</v>
      </c>
      <c r="P12" s="12">
        <v>0</v>
      </c>
      <c r="Q12" s="12">
        <v>0</v>
      </c>
      <c r="R12" s="37">
        <v>0</v>
      </c>
      <c r="S12" s="10" t="s">
        <v>109</v>
      </c>
      <c r="V12" s="8"/>
      <c r="W12" s="25" t="s">
        <v>19</v>
      </c>
      <c r="X12" s="164">
        <v>0.78</v>
      </c>
      <c r="Y12" s="10"/>
      <c r="Z12" s="166" t="s">
        <v>15</v>
      </c>
      <c r="AA12" s="292">
        <v>0</v>
      </c>
      <c r="AB12" s="10"/>
    </row>
    <row r="13" spans="1:28" ht="15.75" thickBot="1" x14ac:dyDescent="0.3">
      <c r="A13" s="805"/>
      <c r="B13" s="640" t="s">
        <v>110</v>
      </c>
      <c r="C13" s="112">
        <f>C11</f>
        <v>2.06</v>
      </c>
      <c r="D13" s="67">
        <f t="shared" ref="D13:R13" si="10">D11</f>
        <v>2.11</v>
      </c>
      <c r="E13" s="67">
        <f t="shared" si="10"/>
        <v>2.13</v>
      </c>
      <c r="F13" s="67">
        <f t="shared" si="10"/>
        <v>2.11</v>
      </c>
      <c r="G13" s="67">
        <f t="shared" si="10"/>
        <v>0</v>
      </c>
      <c r="H13" s="67">
        <f t="shared" si="10"/>
        <v>0</v>
      </c>
      <c r="I13" s="67">
        <f t="shared" si="10"/>
        <v>0</v>
      </c>
      <c r="J13" s="68">
        <f t="shared" si="10"/>
        <v>0</v>
      </c>
      <c r="K13" s="66">
        <f t="shared" si="10"/>
        <v>2.06</v>
      </c>
      <c r="L13" s="67">
        <f t="shared" si="10"/>
        <v>2.11</v>
      </c>
      <c r="M13" s="67">
        <f t="shared" si="10"/>
        <v>2.13</v>
      </c>
      <c r="N13" s="67">
        <f t="shared" si="10"/>
        <v>2.11</v>
      </c>
      <c r="O13" s="67">
        <f t="shared" si="10"/>
        <v>0</v>
      </c>
      <c r="P13" s="67">
        <f t="shared" si="10"/>
        <v>0</v>
      </c>
      <c r="Q13" s="67">
        <f t="shared" si="10"/>
        <v>0</v>
      </c>
      <c r="R13" s="68">
        <f t="shared" si="10"/>
        <v>0</v>
      </c>
      <c r="S13" s="10" t="s">
        <v>107</v>
      </c>
      <c r="T13" s="785" t="s">
        <v>99</v>
      </c>
      <c r="U13" s="787"/>
      <c r="V13" s="10"/>
      <c r="W13" s="126" t="s">
        <v>15</v>
      </c>
      <c r="X13" s="151">
        <v>2</v>
      </c>
      <c r="Y13" s="10"/>
      <c r="Z13" s="140" t="s">
        <v>118</v>
      </c>
      <c r="AA13" s="154">
        <f>(AA10*AA11*AA12)/S6</f>
        <v>0</v>
      </c>
      <c r="AB13" s="10"/>
    </row>
    <row r="14" spans="1:28" ht="15.75" thickBot="1" x14ac:dyDescent="0.3">
      <c r="A14" s="805"/>
      <c r="B14" s="640" t="s">
        <v>4</v>
      </c>
      <c r="C14" s="112">
        <f t="shared" ref="C14:R14" si="11">IF(C5=0,0,IF($T$14=1,$X$20,0))</f>
        <v>6.0821071869509781E-2</v>
      </c>
      <c r="D14" s="67">
        <f t="shared" si="11"/>
        <v>6.0821071869509781E-2</v>
      </c>
      <c r="E14" s="67">
        <f t="shared" si="11"/>
        <v>6.0821071869509781E-2</v>
      </c>
      <c r="F14" s="67">
        <f t="shared" si="11"/>
        <v>6.0821071869509781E-2</v>
      </c>
      <c r="G14" s="67">
        <f t="shared" si="11"/>
        <v>0</v>
      </c>
      <c r="H14" s="67">
        <f t="shared" si="11"/>
        <v>0</v>
      </c>
      <c r="I14" s="67">
        <f t="shared" si="11"/>
        <v>0</v>
      </c>
      <c r="J14" s="68">
        <f t="shared" si="11"/>
        <v>0</v>
      </c>
      <c r="K14" s="66">
        <f t="shared" si="11"/>
        <v>6.0821071869509781E-2</v>
      </c>
      <c r="L14" s="67">
        <f t="shared" si="11"/>
        <v>6.0821071869509781E-2</v>
      </c>
      <c r="M14" s="67">
        <f t="shared" si="11"/>
        <v>6.0821071869509781E-2</v>
      </c>
      <c r="N14" s="67">
        <f t="shared" si="11"/>
        <v>6.0821071869509781E-2</v>
      </c>
      <c r="O14" s="67">
        <f t="shared" si="11"/>
        <v>0</v>
      </c>
      <c r="P14" s="67">
        <f t="shared" si="11"/>
        <v>0</v>
      </c>
      <c r="Q14" s="67">
        <f t="shared" si="11"/>
        <v>0</v>
      </c>
      <c r="R14" s="68">
        <f t="shared" si="11"/>
        <v>0</v>
      </c>
      <c r="S14" s="10" t="s">
        <v>107</v>
      </c>
      <c r="T14" s="785">
        <v>1</v>
      </c>
      <c r="U14" s="787"/>
      <c r="V14" s="10"/>
      <c r="W14" s="25" t="s">
        <v>11</v>
      </c>
      <c r="X14" s="165">
        <v>100</v>
      </c>
      <c r="Y14" s="10"/>
      <c r="Z14" s="10"/>
      <c r="AA14" s="10"/>
      <c r="AB14" s="10"/>
    </row>
    <row r="15" spans="1:28" ht="15.75" thickBot="1" x14ac:dyDescent="0.3">
      <c r="A15" s="805"/>
      <c r="B15" s="640" t="s">
        <v>5</v>
      </c>
      <c r="C15" s="112">
        <f>IF(C5=0,0,$AA$13)</f>
        <v>0</v>
      </c>
      <c r="D15" s="67">
        <f t="shared" ref="D15:R15" si="12">IF(D5=0,0,$AA$13)</f>
        <v>0</v>
      </c>
      <c r="E15" s="67">
        <f t="shared" si="12"/>
        <v>0</v>
      </c>
      <c r="F15" s="67">
        <f t="shared" si="12"/>
        <v>0</v>
      </c>
      <c r="G15" s="67">
        <f t="shared" si="12"/>
        <v>0</v>
      </c>
      <c r="H15" s="67">
        <f t="shared" si="12"/>
        <v>0</v>
      </c>
      <c r="I15" s="67">
        <f t="shared" si="12"/>
        <v>0</v>
      </c>
      <c r="J15" s="68">
        <f t="shared" si="12"/>
        <v>0</v>
      </c>
      <c r="K15" s="66">
        <f t="shared" si="12"/>
        <v>0</v>
      </c>
      <c r="L15" s="67">
        <f t="shared" si="12"/>
        <v>0</v>
      </c>
      <c r="M15" s="67">
        <f t="shared" si="12"/>
        <v>0</v>
      </c>
      <c r="N15" s="67">
        <f t="shared" si="12"/>
        <v>0</v>
      </c>
      <c r="O15" s="67">
        <f t="shared" si="12"/>
        <v>0</v>
      </c>
      <c r="P15" s="67">
        <f t="shared" si="12"/>
        <v>0</v>
      </c>
      <c r="Q15" s="67">
        <f t="shared" si="12"/>
        <v>0</v>
      </c>
      <c r="R15" s="68">
        <f t="shared" si="12"/>
        <v>0</v>
      </c>
      <c r="S15" s="10" t="s">
        <v>107</v>
      </c>
      <c r="T15" s="10"/>
      <c r="U15" s="10"/>
      <c r="V15" s="10"/>
      <c r="W15" s="137" t="s">
        <v>12</v>
      </c>
      <c r="X15" s="576">
        <f>((S6/X11)/X12/X13)/X14</f>
        <v>2.5781658817373097</v>
      </c>
      <c r="Y15" s="10"/>
      <c r="Z15" s="801" t="s">
        <v>22</v>
      </c>
      <c r="AA15" s="803"/>
      <c r="AB15" s="10"/>
    </row>
    <row r="16" spans="1:28" x14ac:dyDescent="0.25">
      <c r="A16" s="805"/>
      <c r="B16" s="639" t="s">
        <v>6</v>
      </c>
      <c r="C16" s="115">
        <v>0</v>
      </c>
      <c r="D16" s="12">
        <v>0</v>
      </c>
      <c r="E16" s="12">
        <v>0</v>
      </c>
      <c r="F16" s="12">
        <v>0</v>
      </c>
      <c r="G16" s="12">
        <v>0</v>
      </c>
      <c r="H16" s="12">
        <v>0</v>
      </c>
      <c r="I16" s="12">
        <v>0</v>
      </c>
      <c r="J16" s="37">
        <v>0</v>
      </c>
      <c r="K16" s="109">
        <v>0</v>
      </c>
      <c r="L16" s="12">
        <v>0</v>
      </c>
      <c r="M16" s="12">
        <v>0</v>
      </c>
      <c r="N16" s="12">
        <v>0</v>
      </c>
      <c r="O16" s="12">
        <v>0</v>
      </c>
      <c r="P16" s="12">
        <v>0</v>
      </c>
      <c r="Q16" s="12">
        <v>0</v>
      </c>
      <c r="R16" s="37">
        <v>0</v>
      </c>
      <c r="S16" s="10" t="s">
        <v>107</v>
      </c>
      <c r="T16" s="10"/>
      <c r="U16" s="10"/>
      <c r="V16" s="10"/>
      <c r="W16" s="126" t="s">
        <v>18</v>
      </c>
      <c r="X16" s="151">
        <v>4</v>
      </c>
      <c r="Y16" s="10"/>
      <c r="Z16" s="157" t="s">
        <v>118</v>
      </c>
      <c r="AA16" s="156">
        <f>SUMPRODUCT(C16:R16,C5:R5)/S5</f>
        <v>0</v>
      </c>
      <c r="AB16" s="10"/>
    </row>
    <row r="17" spans="1:28" ht="15.75" thickBot="1" x14ac:dyDescent="0.3">
      <c r="A17" s="805"/>
      <c r="B17" s="641" t="s">
        <v>227</v>
      </c>
      <c r="C17" s="112">
        <f>IF(C5=0,0,$X$26)</f>
        <v>1.0733130329913489E-2</v>
      </c>
      <c r="D17" s="67">
        <f t="shared" ref="D17:R17" si="13">IF(D5=0,0,$X$26)</f>
        <v>1.0733130329913489E-2</v>
      </c>
      <c r="E17" s="67">
        <f t="shared" si="13"/>
        <v>1.0733130329913489E-2</v>
      </c>
      <c r="F17" s="67">
        <f t="shared" si="13"/>
        <v>1.0733130329913489E-2</v>
      </c>
      <c r="G17" s="67">
        <f t="shared" si="13"/>
        <v>0</v>
      </c>
      <c r="H17" s="67">
        <f t="shared" si="13"/>
        <v>0</v>
      </c>
      <c r="I17" s="67">
        <f t="shared" si="13"/>
        <v>0</v>
      </c>
      <c r="J17" s="68">
        <f t="shared" si="13"/>
        <v>0</v>
      </c>
      <c r="K17" s="66">
        <f t="shared" si="13"/>
        <v>1.0733130329913489E-2</v>
      </c>
      <c r="L17" s="67">
        <f t="shared" si="13"/>
        <v>1.0733130329913489E-2</v>
      </c>
      <c r="M17" s="67">
        <f t="shared" si="13"/>
        <v>1.0733130329913489E-2</v>
      </c>
      <c r="N17" s="67">
        <f t="shared" si="13"/>
        <v>1.0733130329913489E-2</v>
      </c>
      <c r="O17" s="67">
        <f t="shared" si="13"/>
        <v>0</v>
      </c>
      <c r="P17" s="67">
        <f t="shared" si="13"/>
        <v>0</v>
      </c>
      <c r="Q17" s="67">
        <f t="shared" si="13"/>
        <v>0</v>
      </c>
      <c r="R17" s="68">
        <f t="shared" si="13"/>
        <v>0</v>
      </c>
      <c r="S17" s="10" t="s">
        <v>107</v>
      </c>
      <c r="T17" s="10"/>
      <c r="U17" s="10"/>
      <c r="V17" s="10"/>
      <c r="W17" s="126" t="s">
        <v>9</v>
      </c>
      <c r="X17" s="151">
        <v>1</v>
      </c>
      <c r="Y17" s="10"/>
      <c r="Z17" s="45" t="s">
        <v>13</v>
      </c>
      <c r="AA17" s="153">
        <v>105</v>
      </c>
      <c r="AB17" s="10"/>
    </row>
    <row r="18" spans="1:28" ht="15.75" thickBot="1" x14ac:dyDescent="0.3">
      <c r="A18" s="805"/>
      <c r="B18" s="642" t="s">
        <v>7</v>
      </c>
      <c r="C18" s="116">
        <v>0</v>
      </c>
      <c r="D18" s="538">
        <v>0</v>
      </c>
      <c r="E18" s="538">
        <v>0</v>
      </c>
      <c r="F18" s="538">
        <v>0</v>
      </c>
      <c r="G18" s="538">
        <v>0</v>
      </c>
      <c r="H18" s="538">
        <v>0</v>
      </c>
      <c r="I18" s="538">
        <v>0</v>
      </c>
      <c r="J18" s="539">
        <v>0</v>
      </c>
      <c r="K18" s="651">
        <v>0</v>
      </c>
      <c r="L18" s="538">
        <v>0</v>
      </c>
      <c r="M18" s="538">
        <v>0</v>
      </c>
      <c r="N18" s="538">
        <v>0</v>
      </c>
      <c r="O18" s="538">
        <v>0</v>
      </c>
      <c r="P18" s="538">
        <v>0</v>
      </c>
      <c r="Q18" s="538">
        <v>0</v>
      </c>
      <c r="R18" s="539">
        <v>0</v>
      </c>
      <c r="S18" s="10" t="s">
        <v>107</v>
      </c>
      <c r="T18" s="10"/>
      <c r="U18" s="10"/>
      <c r="V18" s="10"/>
      <c r="W18" s="137" t="s">
        <v>16</v>
      </c>
      <c r="X18" s="150">
        <f>IF(T14=1,(X15*X16*X17),0)</f>
        <v>10.312663526949239</v>
      </c>
      <c r="Y18" s="10"/>
      <c r="Z18" s="140" t="s">
        <v>23</v>
      </c>
      <c r="AA18" s="154">
        <f>(AA16*S6)/AA17</f>
        <v>0</v>
      </c>
      <c r="AB18" s="10"/>
    </row>
    <row r="19" spans="1:28" ht="15.75" thickBot="1" x14ac:dyDescent="0.3">
      <c r="A19" s="805"/>
      <c r="B19" s="643" t="s">
        <v>97</v>
      </c>
      <c r="C19" s="174">
        <f t="shared" ref="C19:R19" si="14">IF(C5=0,0,SUM(C13:C18))</f>
        <v>2.1315542021994234</v>
      </c>
      <c r="D19" s="175">
        <f t="shared" si="14"/>
        <v>2.1815542021994232</v>
      </c>
      <c r="E19" s="175">
        <f t="shared" si="14"/>
        <v>2.2015542021994232</v>
      </c>
      <c r="F19" s="175">
        <f t="shared" si="14"/>
        <v>2.1815542021994232</v>
      </c>
      <c r="G19" s="175">
        <f t="shared" si="14"/>
        <v>0</v>
      </c>
      <c r="H19" s="175">
        <f t="shared" si="14"/>
        <v>0</v>
      </c>
      <c r="I19" s="175">
        <f t="shared" si="14"/>
        <v>0</v>
      </c>
      <c r="J19" s="274">
        <f t="shared" si="14"/>
        <v>0</v>
      </c>
      <c r="K19" s="174">
        <f t="shared" si="14"/>
        <v>2.1315542021994234</v>
      </c>
      <c r="L19" s="175">
        <f t="shared" si="14"/>
        <v>2.1815542021994232</v>
      </c>
      <c r="M19" s="175">
        <f t="shared" si="14"/>
        <v>2.2015542021994232</v>
      </c>
      <c r="N19" s="175">
        <f t="shared" si="14"/>
        <v>2.1815542021994232</v>
      </c>
      <c r="O19" s="175">
        <f t="shared" si="14"/>
        <v>0</v>
      </c>
      <c r="P19" s="175">
        <f t="shared" si="14"/>
        <v>0</v>
      </c>
      <c r="Q19" s="175">
        <f t="shared" si="14"/>
        <v>0</v>
      </c>
      <c r="R19" s="176">
        <f t="shared" si="14"/>
        <v>0</v>
      </c>
      <c r="S19" s="10" t="s">
        <v>107</v>
      </c>
      <c r="T19" s="10"/>
      <c r="U19" s="10"/>
      <c r="V19" s="10"/>
      <c r="W19" s="45" t="s">
        <v>17</v>
      </c>
      <c r="X19" s="153">
        <v>85</v>
      </c>
      <c r="Y19" s="10"/>
      <c r="Z19" s="10"/>
      <c r="AA19" s="10"/>
      <c r="AB19" s="10"/>
    </row>
    <row r="20" spans="1:28" ht="15.75" thickBot="1" x14ac:dyDescent="0.3">
      <c r="A20" s="805"/>
      <c r="B20" s="644" t="s">
        <v>155</v>
      </c>
      <c r="C20" s="86">
        <f>C19*$S$20</f>
        <v>6.3946626065982698E-2</v>
      </c>
      <c r="D20" s="65">
        <f t="shared" ref="D20:R20" si="15">D19*$S$20</f>
        <v>6.5446626065982699E-2</v>
      </c>
      <c r="E20" s="65">
        <f t="shared" si="15"/>
        <v>6.6046626065982689E-2</v>
      </c>
      <c r="F20" s="65">
        <f t="shared" si="15"/>
        <v>6.5446626065982699E-2</v>
      </c>
      <c r="G20" s="65">
        <f t="shared" si="15"/>
        <v>0</v>
      </c>
      <c r="H20" s="65">
        <f t="shared" si="15"/>
        <v>0</v>
      </c>
      <c r="I20" s="65">
        <f t="shared" si="15"/>
        <v>0</v>
      </c>
      <c r="J20" s="240">
        <f t="shared" si="15"/>
        <v>0</v>
      </c>
      <c r="K20" s="86">
        <f t="shared" si="15"/>
        <v>6.3946626065982698E-2</v>
      </c>
      <c r="L20" s="65">
        <f t="shared" si="15"/>
        <v>6.5446626065982699E-2</v>
      </c>
      <c r="M20" s="65">
        <f t="shared" si="15"/>
        <v>6.6046626065982689E-2</v>
      </c>
      <c r="N20" s="65">
        <f t="shared" si="15"/>
        <v>6.5446626065982699E-2</v>
      </c>
      <c r="O20" s="65">
        <f t="shared" si="15"/>
        <v>0</v>
      </c>
      <c r="P20" s="65">
        <f t="shared" si="15"/>
        <v>0</v>
      </c>
      <c r="Q20" s="65">
        <f t="shared" si="15"/>
        <v>0</v>
      </c>
      <c r="R20" s="72">
        <f t="shared" si="15"/>
        <v>0</v>
      </c>
      <c r="S20" s="231">
        <f>Total!V57</f>
        <v>0.03</v>
      </c>
      <c r="T20" s="10"/>
      <c r="U20" s="10"/>
      <c r="V20" s="10"/>
      <c r="W20" s="140" t="s">
        <v>118</v>
      </c>
      <c r="X20" s="154">
        <f>(X18*X19)/S6</f>
        <v>6.0821071869509781E-2</v>
      </c>
      <c r="Y20" s="10"/>
      <c r="Z20" s="801" t="s">
        <v>7</v>
      </c>
      <c r="AA20" s="803"/>
      <c r="AB20" s="10"/>
    </row>
    <row r="21" spans="1:28" ht="15.75" thickBot="1" x14ac:dyDescent="0.3">
      <c r="A21" s="805"/>
      <c r="B21" s="645" t="s">
        <v>41</v>
      </c>
      <c r="C21" s="646">
        <f>C19+C20</f>
        <v>2.195500828265406</v>
      </c>
      <c r="D21" s="568">
        <f t="shared" ref="D21:R21" si="16">D19+D20</f>
        <v>2.2470008282654059</v>
      </c>
      <c r="E21" s="568">
        <f t="shared" si="16"/>
        <v>2.2676008282654059</v>
      </c>
      <c r="F21" s="568">
        <f t="shared" si="16"/>
        <v>2.2470008282654059</v>
      </c>
      <c r="G21" s="568">
        <f t="shared" si="16"/>
        <v>0</v>
      </c>
      <c r="H21" s="568">
        <f t="shared" si="16"/>
        <v>0</v>
      </c>
      <c r="I21" s="568">
        <f t="shared" si="16"/>
        <v>0</v>
      </c>
      <c r="J21" s="647">
        <f t="shared" si="16"/>
        <v>0</v>
      </c>
      <c r="K21" s="648">
        <f t="shared" si="16"/>
        <v>2.195500828265406</v>
      </c>
      <c r="L21" s="649">
        <f t="shared" si="16"/>
        <v>2.2470008282654059</v>
      </c>
      <c r="M21" s="649">
        <f t="shared" si="16"/>
        <v>2.2676008282654059</v>
      </c>
      <c r="N21" s="649">
        <f t="shared" si="16"/>
        <v>2.2470008282654059</v>
      </c>
      <c r="O21" s="649">
        <f t="shared" si="16"/>
        <v>0</v>
      </c>
      <c r="P21" s="649">
        <f t="shared" si="16"/>
        <v>0</v>
      </c>
      <c r="Q21" s="649">
        <f t="shared" si="16"/>
        <v>0</v>
      </c>
      <c r="R21" s="647">
        <f t="shared" si="16"/>
        <v>0</v>
      </c>
      <c r="S21" s="10" t="s">
        <v>107</v>
      </c>
      <c r="T21" s="10"/>
      <c r="U21" s="10"/>
      <c r="V21" s="10"/>
      <c r="W21" s="10"/>
      <c r="X21" s="10"/>
      <c r="Y21" s="10"/>
      <c r="Z21" s="157" t="s">
        <v>118</v>
      </c>
      <c r="AA21" s="156">
        <f>SUMPRODUCT(C18:R18,C5:R5)/S6</f>
        <v>0</v>
      </c>
      <c r="AB21" s="10"/>
    </row>
    <row r="22" spans="1:28" s="10" customFormat="1" ht="15.75" thickBot="1" x14ac:dyDescent="0.3">
      <c r="A22" s="806"/>
      <c r="B22" s="181" t="s">
        <v>335</v>
      </c>
      <c r="C22" s="120">
        <f>IF(C12=0,0,C21*(C12/1000))</f>
        <v>1.9320407288735573</v>
      </c>
      <c r="D22" s="78">
        <f t="shared" ref="D22:R22" si="17">IF(D12=0,0,D21*(D12/1000))</f>
        <v>2.4267608945266383</v>
      </c>
      <c r="E22" s="78">
        <f t="shared" si="17"/>
        <v>2.1088687702868274</v>
      </c>
      <c r="F22" s="78">
        <f t="shared" si="17"/>
        <v>2.0897107702868278</v>
      </c>
      <c r="G22" s="78">
        <f t="shared" si="17"/>
        <v>0</v>
      </c>
      <c r="H22" s="78">
        <f t="shared" si="17"/>
        <v>0</v>
      </c>
      <c r="I22" s="78">
        <f t="shared" si="17"/>
        <v>0</v>
      </c>
      <c r="J22" s="79">
        <f t="shared" si="17"/>
        <v>0</v>
      </c>
      <c r="K22" s="120">
        <f t="shared" si="17"/>
        <v>0</v>
      </c>
      <c r="L22" s="78">
        <f t="shared" si="17"/>
        <v>0</v>
      </c>
      <c r="M22" s="78">
        <f t="shared" si="17"/>
        <v>0</v>
      </c>
      <c r="N22" s="78">
        <f t="shared" si="17"/>
        <v>0</v>
      </c>
      <c r="O22" s="78">
        <f t="shared" si="17"/>
        <v>0</v>
      </c>
      <c r="P22" s="78">
        <f t="shared" si="17"/>
        <v>0</v>
      </c>
      <c r="Q22" s="78">
        <f t="shared" si="17"/>
        <v>0</v>
      </c>
      <c r="R22" s="79">
        <f t="shared" si="17"/>
        <v>0</v>
      </c>
      <c r="S22" s="110" t="s">
        <v>2</v>
      </c>
      <c r="Z22" s="636"/>
      <c r="AA22" s="637"/>
    </row>
    <row r="23" spans="1:28" ht="15.75" customHeight="1" thickBot="1" x14ac:dyDescent="0.3">
      <c r="A23" s="10"/>
      <c r="B23" s="10"/>
      <c r="C23" s="10"/>
      <c r="D23" s="10"/>
      <c r="E23" s="10"/>
      <c r="F23" s="10"/>
      <c r="J23" s="10"/>
      <c r="S23" s="10"/>
      <c r="T23" s="10"/>
      <c r="U23" s="10"/>
      <c r="V23" s="10"/>
      <c r="W23" s="785" t="s">
        <v>223</v>
      </c>
      <c r="X23" s="787"/>
      <c r="Y23" s="10"/>
      <c r="Z23" s="45" t="s">
        <v>13</v>
      </c>
      <c r="AA23" s="158">
        <v>105</v>
      </c>
      <c r="AB23" s="10"/>
    </row>
    <row r="24" spans="1:28" ht="15.75" customHeight="1" thickBot="1" x14ac:dyDescent="0.3">
      <c r="A24" s="51"/>
      <c r="L24" s="279"/>
      <c r="M24" s="279"/>
      <c r="N24" s="279"/>
      <c r="O24" s="601"/>
      <c r="P24" s="601"/>
      <c r="Q24" s="601"/>
      <c r="R24" s="279"/>
      <c r="S24" s="10"/>
      <c r="T24" s="10"/>
      <c r="U24" s="10"/>
      <c r="V24" s="10"/>
      <c r="W24" s="180" t="s">
        <v>226</v>
      </c>
      <c r="X24" s="424">
        <v>1000</v>
      </c>
      <c r="Y24" s="10"/>
      <c r="Z24" s="140" t="s">
        <v>23</v>
      </c>
      <c r="AA24" s="159">
        <f>(AA21*S6)/AA23</f>
        <v>0</v>
      </c>
      <c r="AB24" s="10"/>
    </row>
    <row r="25" spans="1:28" ht="19.5" thickBot="1" x14ac:dyDescent="0.3">
      <c r="L25" s="279"/>
      <c r="M25" s="279"/>
      <c r="N25" s="279"/>
      <c r="O25" s="601"/>
      <c r="P25" s="601"/>
      <c r="Q25" s="601"/>
      <c r="R25" s="279"/>
      <c r="S25" s="10"/>
      <c r="T25" s="10"/>
      <c r="U25" s="10"/>
      <c r="V25" s="10"/>
      <c r="W25" s="295" t="s">
        <v>225</v>
      </c>
      <c r="X25" s="425">
        <v>0.06</v>
      </c>
    </row>
    <row r="26" spans="1:28" ht="15.75" thickBot="1" x14ac:dyDescent="0.3">
      <c r="S26" s="10"/>
      <c r="W26" s="181" t="s">
        <v>118</v>
      </c>
      <c r="X26" s="252">
        <f>(X25*X24*X17*X15)/S6</f>
        <v>1.0733130329913489E-2</v>
      </c>
    </row>
    <row r="27" spans="1:28" x14ac:dyDescent="0.25">
      <c r="L27"/>
      <c r="M27"/>
      <c r="N27"/>
      <c r="S27" s="10"/>
    </row>
    <row r="28" spans="1:28" x14ac:dyDescent="0.25">
      <c r="L28"/>
      <c r="M28"/>
      <c r="N28"/>
      <c r="R28"/>
    </row>
    <row r="29" spans="1:28" x14ac:dyDescent="0.25">
      <c r="L29"/>
      <c r="M29"/>
      <c r="N29"/>
      <c r="R29"/>
    </row>
    <row r="30" spans="1:28" x14ac:dyDescent="0.25">
      <c r="L30"/>
      <c r="M30"/>
      <c r="N30"/>
      <c r="R30"/>
    </row>
    <row r="31" spans="1:28" x14ac:dyDescent="0.25">
      <c r="L31"/>
      <c r="M31"/>
      <c r="N31"/>
      <c r="R31"/>
    </row>
    <row r="32" spans="1:28" x14ac:dyDescent="0.25">
      <c r="L32"/>
      <c r="M32"/>
      <c r="N32"/>
      <c r="R32"/>
    </row>
    <row r="33" spans="12:18" x14ac:dyDescent="0.25">
      <c r="L33"/>
      <c r="M33"/>
      <c r="N33"/>
      <c r="R33"/>
    </row>
  </sheetData>
  <mergeCells count="13">
    <mergeCell ref="A1:AB1"/>
    <mergeCell ref="Z20:AA20"/>
    <mergeCell ref="W9:X9"/>
    <mergeCell ref="Z9:AA9"/>
    <mergeCell ref="T13:U13"/>
    <mergeCell ref="T14:U14"/>
    <mergeCell ref="Z15:AA15"/>
    <mergeCell ref="B8:R9"/>
    <mergeCell ref="W23:X23"/>
    <mergeCell ref="A11:A22"/>
    <mergeCell ref="C2:R2"/>
    <mergeCell ref="C3:J3"/>
    <mergeCell ref="K3:R3"/>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zoomScaleNormal="100" workbookViewId="0">
      <pane ySplit="1" topLeftCell="A2" activePane="bottomLeft" state="frozen"/>
      <selection pane="bottomLeft" activeCell="E13" sqref="E13"/>
    </sheetView>
  </sheetViews>
  <sheetFormatPr baseColWidth="10" defaultRowHeight="15" x14ac:dyDescent="0.25"/>
  <cols>
    <col min="1" max="1" width="11.42578125" style="10"/>
    <col min="2" max="2" width="18.140625" style="10" bestFit="1" customWidth="1"/>
    <col min="3" max="3" width="11.7109375" style="10" customWidth="1"/>
    <col min="4" max="4" width="11.42578125" style="10"/>
    <col min="5" max="5" width="14.28515625" style="10" customWidth="1"/>
    <col min="6" max="6" width="12.85546875" style="10" customWidth="1"/>
    <col min="7" max="7" width="11.42578125" style="10"/>
    <col min="8" max="8" width="29.140625" style="10" bestFit="1" customWidth="1"/>
    <col min="9" max="10" width="11.42578125" style="10"/>
    <col min="11" max="11" width="28.42578125" style="10" bestFit="1" customWidth="1"/>
    <col min="12" max="16384" width="11.42578125" style="10"/>
  </cols>
  <sheetData>
    <row r="1" spans="1:12" ht="31.5" customHeight="1" x14ac:dyDescent="0.25">
      <c r="A1" s="838"/>
      <c r="B1" s="838"/>
      <c r="C1" s="838"/>
      <c r="D1" s="838"/>
      <c r="E1" s="838"/>
      <c r="F1" s="838"/>
      <c r="G1" s="838"/>
      <c r="H1" s="838"/>
      <c r="I1" s="838"/>
      <c r="J1" s="838"/>
      <c r="K1" s="838"/>
      <c r="L1" s="838"/>
    </row>
    <row r="2" spans="1:12" ht="17.25" customHeight="1" thickBot="1" x14ac:dyDescent="0.3">
      <c r="C2" s="199"/>
      <c r="D2" s="199"/>
      <c r="E2" s="199"/>
      <c r="F2" s="199"/>
      <c r="G2" s="199"/>
      <c r="H2" s="199"/>
      <c r="I2" s="199"/>
    </row>
    <row r="3" spans="1:12" ht="15.75" thickBot="1" x14ac:dyDescent="0.3">
      <c r="E3" s="791" t="s">
        <v>82</v>
      </c>
      <c r="F3" s="799"/>
      <c r="H3" s="785" t="s">
        <v>29</v>
      </c>
      <c r="I3" s="787"/>
      <c r="K3" s="785" t="s">
        <v>54</v>
      </c>
      <c r="L3" s="799"/>
    </row>
    <row r="4" spans="1:12" ht="15.75" thickBot="1" x14ac:dyDescent="0.3">
      <c r="E4" s="876">
        <f>Total!D7</f>
        <v>31532</v>
      </c>
      <c r="F4" s="877"/>
      <c r="H4" s="108"/>
      <c r="I4" s="108"/>
      <c r="K4" s="200"/>
      <c r="L4" s="108"/>
    </row>
    <row r="5" spans="1:12" ht="15.75" thickBot="1" x14ac:dyDescent="0.3">
      <c r="E5" s="205"/>
      <c r="F5" s="205"/>
      <c r="H5" s="137" t="s">
        <v>12</v>
      </c>
      <c r="I5" s="207">
        <f>Chargement!X15</f>
        <v>2.5781658817373097</v>
      </c>
      <c r="K5" s="178" t="s">
        <v>12</v>
      </c>
      <c r="L5" s="207">
        <f>I5</f>
        <v>2.5781658817373097</v>
      </c>
    </row>
    <row r="6" spans="1:12" ht="18.75" x14ac:dyDescent="0.25">
      <c r="A6" s="795" t="s">
        <v>1</v>
      </c>
      <c r="B6" s="778" t="s">
        <v>116</v>
      </c>
      <c r="C6" s="780"/>
      <c r="D6" s="11"/>
      <c r="H6" s="126" t="s">
        <v>126</v>
      </c>
      <c r="I6" s="208">
        <v>1</v>
      </c>
      <c r="K6" s="179" t="s">
        <v>114</v>
      </c>
      <c r="L6" s="207">
        <v>330</v>
      </c>
    </row>
    <row r="7" spans="1:12" ht="19.5" thickBot="1" x14ac:dyDescent="0.3">
      <c r="A7" s="806"/>
      <c r="B7" s="781"/>
      <c r="C7" s="783"/>
      <c r="D7" s="11"/>
      <c r="H7" s="126" t="s">
        <v>18</v>
      </c>
      <c r="I7" s="208">
        <v>4</v>
      </c>
      <c r="K7" s="180" t="s">
        <v>115</v>
      </c>
      <c r="L7" s="215">
        <v>1.08</v>
      </c>
    </row>
    <row r="8" spans="1:12" ht="15.75" thickBot="1" x14ac:dyDescent="0.3">
      <c r="A8" s="795" t="s">
        <v>111</v>
      </c>
      <c r="B8" s="130" t="s">
        <v>3</v>
      </c>
      <c r="C8" s="198"/>
      <c r="H8" s="137" t="s">
        <v>16</v>
      </c>
      <c r="I8" s="207">
        <f>IF(E12=1,(I5*I7*I6),0)</f>
        <v>10.312663526949239</v>
      </c>
      <c r="K8" s="181" t="s">
        <v>20</v>
      </c>
      <c r="L8" s="88">
        <f>((((L6)+(L7*17*10))*L5)/E4)*I6</f>
        <v>4.1993720565149127E-2</v>
      </c>
    </row>
    <row r="9" spans="1:12" ht="15.75" thickBot="1" x14ac:dyDescent="0.3">
      <c r="A9" s="805"/>
      <c r="B9" s="197" t="s">
        <v>46</v>
      </c>
      <c r="C9" s="131">
        <f>I19</f>
        <v>4.6520146520146514E-2</v>
      </c>
      <c r="D9" s="10" t="s">
        <v>2</v>
      </c>
      <c r="H9" s="45" t="s">
        <v>17</v>
      </c>
      <c r="I9" s="209">
        <v>85</v>
      </c>
    </row>
    <row r="10" spans="1:12" ht="15.75" thickBot="1" x14ac:dyDescent="0.3">
      <c r="A10" s="805"/>
      <c r="B10" s="197" t="s">
        <v>44</v>
      </c>
      <c r="C10" s="113">
        <f>L8</f>
        <v>4.1993720565149127E-2</v>
      </c>
      <c r="D10" s="10" t="s">
        <v>2</v>
      </c>
      <c r="H10" s="140" t="s">
        <v>20</v>
      </c>
      <c r="I10" s="88">
        <f>(I8*I9)/E4</f>
        <v>2.7799581371009935E-2</v>
      </c>
    </row>
    <row r="11" spans="1:12" ht="15.75" thickBot="1" x14ac:dyDescent="0.3">
      <c r="A11" s="805"/>
      <c r="B11" s="29" t="s">
        <v>45</v>
      </c>
      <c r="C11" s="216">
        <v>0</v>
      </c>
      <c r="D11" s="10" t="s">
        <v>2</v>
      </c>
      <c r="E11" s="785" t="s">
        <v>99</v>
      </c>
      <c r="F11" s="787"/>
    </row>
    <row r="12" spans="1:12" ht="15.75" thickBot="1" x14ac:dyDescent="0.3">
      <c r="A12" s="805"/>
      <c r="B12" s="161" t="s">
        <v>4</v>
      </c>
      <c r="C12" s="202">
        <f>IF($E$12=1,$I$10,0)</f>
        <v>2.7799581371009935E-2</v>
      </c>
      <c r="D12" s="10" t="s">
        <v>2</v>
      </c>
      <c r="E12" s="785">
        <v>1</v>
      </c>
      <c r="F12" s="787"/>
      <c r="H12" s="785" t="s">
        <v>50</v>
      </c>
      <c r="I12" s="787"/>
    </row>
    <row r="13" spans="1:12" ht="15.75" thickBot="1" x14ac:dyDescent="0.3">
      <c r="A13" s="805"/>
      <c r="B13" s="137" t="s">
        <v>39</v>
      </c>
      <c r="C13" s="131">
        <f>IF(E4=0,0,SUM(C9:C12))</f>
        <v>0.11631344845630558</v>
      </c>
      <c r="D13" s="10" t="s">
        <v>2</v>
      </c>
      <c r="H13" s="201"/>
      <c r="I13" s="55"/>
    </row>
    <row r="14" spans="1:12" ht="15.75" thickBot="1" x14ac:dyDescent="0.3">
      <c r="A14" s="805"/>
      <c r="B14" s="137" t="s">
        <v>156</v>
      </c>
      <c r="C14" s="202">
        <f>C13*D14</f>
        <v>3.4894034536891673E-3</v>
      </c>
      <c r="D14" s="230">
        <f>Total!V57</f>
        <v>0.03</v>
      </c>
      <c r="H14" s="210" t="s">
        <v>100</v>
      </c>
      <c r="I14" s="213">
        <f>I5</f>
        <v>2.5781658817373097</v>
      </c>
    </row>
    <row r="15" spans="1:12" ht="15.75" thickBot="1" x14ac:dyDescent="0.3">
      <c r="A15" s="806"/>
      <c r="B15" s="195" t="s">
        <v>41</v>
      </c>
      <c r="C15" s="217">
        <f>C13+C14</f>
        <v>0.11980285190999475</v>
      </c>
      <c r="D15" s="10" t="s">
        <v>2</v>
      </c>
      <c r="H15" s="180" t="s">
        <v>101</v>
      </c>
      <c r="I15" s="208">
        <v>32</v>
      </c>
    </row>
    <row r="16" spans="1:12" x14ac:dyDescent="0.25">
      <c r="H16" s="179" t="s">
        <v>127</v>
      </c>
      <c r="I16" s="207">
        <f>I15*I14*I6</f>
        <v>82.501308215593909</v>
      </c>
    </row>
    <row r="17" spans="8:10" ht="15.75" thickBot="1" x14ac:dyDescent="0.3">
      <c r="H17" s="211" t="s">
        <v>52</v>
      </c>
      <c r="I17" s="44">
        <v>14</v>
      </c>
    </row>
    <row r="18" spans="8:10" ht="15.75" thickBot="1" x14ac:dyDescent="0.3">
      <c r="H18" s="212" t="s">
        <v>53</v>
      </c>
      <c r="I18" s="214">
        <f>I17*J18</f>
        <v>3.7800000000000002</v>
      </c>
      <c r="J18" s="359">
        <v>0.27</v>
      </c>
    </row>
    <row r="19" spans="8:10" ht="15.75" thickBot="1" x14ac:dyDescent="0.3">
      <c r="H19" s="181" t="s">
        <v>20</v>
      </c>
      <c r="I19" s="88">
        <f>((I17+I18)*I16)/E4</f>
        <v>4.6520146520146514E-2</v>
      </c>
    </row>
  </sheetData>
  <mergeCells count="11">
    <mergeCell ref="A1:L1"/>
    <mergeCell ref="E3:F3"/>
    <mergeCell ref="K3:L3"/>
    <mergeCell ref="A6:A7"/>
    <mergeCell ref="A8:A15"/>
    <mergeCell ref="E11:F11"/>
    <mergeCell ref="E12:F12"/>
    <mergeCell ref="E4:F4"/>
    <mergeCell ref="H3:I3"/>
    <mergeCell ref="H12:I12"/>
    <mergeCell ref="B6:C7"/>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8"/>
  <sheetViews>
    <sheetView workbookViewId="0">
      <pane ySplit="1" topLeftCell="A2" activePane="bottomLeft" state="frozen"/>
      <selection pane="bottomLeft" activeCell="D23" sqref="D23"/>
    </sheetView>
  </sheetViews>
  <sheetFormatPr baseColWidth="10" defaultRowHeight="15" x14ac:dyDescent="0.25"/>
  <cols>
    <col min="3" max="3" width="33" bestFit="1" customWidth="1"/>
    <col min="4" max="4" width="14" bestFit="1" customWidth="1"/>
    <col min="5" max="8" width="13.140625" bestFit="1" customWidth="1"/>
    <col min="11" max="11" width="39" bestFit="1" customWidth="1"/>
    <col min="14" max="14" width="29.85546875" bestFit="1" customWidth="1"/>
  </cols>
  <sheetData>
    <row r="1" spans="1:23" ht="26.25" customHeight="1" thickBot="1" x14ac:dyDescent="0.3">
      <c r="A1" s="838" t="str">
        <f>Total!C8</f>
        <v>LEMANCEAU_COURT</v>
      </c>
      <c r="B1" s="838"/>
      <c r="C1" s="838"/>
      <c r="D1" s="838"/>
      <c r="E1" s="838"/>
      <c r="F1" s="838"/>
      <c r="G1" s="838"/>
      <c r="H1" s="838"/>
      <c r="I1" s="838"/>
      <c r="J1" s="838"/>
      <c r="K1" s="838"/>
      <c r="L1" s="838"/>
      <c r="M1" s="838"/>
      <c r="N1" s="838"/>
      <c r="O1" s="838"/>
      <c r="P1" s="838"/>
      <c r="Q1" s="838"/>
    </row>
    <row r="2" spans="1:23" s="10" customFormat="1" ht="14.25" customHeight="1" x14ac:dyDescent="0.25">
      <c r="A2" s="535"/>
      <c r="B2" s="778" t="s">
        <v>82</v>
      </c>
      <c r="C2" s="779"/>
      <c r="D2" s="779"/>
      <c r="E2" s="779"/>
      <c r="F2" s="779"/>
      <c r="G2" s="779"/>
      <c r="H2" s="779"/>
      <c r="I2" s="779"/>
      <c r="J2" s="779"/>
      <c r="K2" s="779"/>
      <c r="L2" s="779"/>
      <c r="M2" s="779"/>
      <c r="N2" s="779"/>
      <c r="O2" s="779"/>
      <c r="P2" s="779"/>
      <c r="Q2" s="780"/>
    </row>
    <row r="3" spans="1:23" s="10" customFormat="1" ht="14.25" customHeight="1" thickBot="1" x14ac:dyDescent="0.3">
      <c r="A3" s="535"/>
      <c r="B3" s="781"/>
      <c r="C3" s="782"/>
      <c r="D3" s="782"/>
      <c r="E3" s="782"/>
      <c r="F3" s="782"/>
      <c r="G3" s="782"/>
      <c r="H3" s="782"/>
      <c r="I3" s="782"/>
      <c r="J3" s="782"/>
      <c r="K3" s="782"/>
      <c r="L3" s="782"/>
      <c r="M3" s="782"/>
      <c r="N3" s="782"/>
      <c r="O3" s="782"/>
      <c r="P3" s="782"/>
      <c r="Q3" s="783"/>
    </row>
    <row r="4" spans="1:23" s="10" customFormat="1" ht="14.25" customHeight="1" thickBot="1" x14ac:dyDescent="0.3">
      <c r="A4" s="535"/>
      <c r="B4" s="785" t="s">
        <v>112</v>
      </c>
      <c r="C4" s="786"/>
      <c r="D4" s="786"/>
      <c r="E4" s="786"/>
      <c r="F4" s="786"/>
      <c r="G4" s="786"/>
      <c r="H4" s="786"/>
      <c r="I4" s="786"/>
      <c r="J4" s="785" t="s">
        <v>332</v>
      </c>
      <c r="K4" s="786"/>
      <c r="L4" s="786"/>
      <c r="M4" s="786"/>
      <c r="N4" s="786"/>
      <c r="O4" s="786"/>
      <c r="P4" s="786"/>
      <c r="Q4" s="787"/>
    </row>
    <row r="5" spans="1:23" s="10" customFormat="1" ht="14.25" customHeight="1" thickBot="1" x14ac:dyDescent="0.3">
      <c r="A5" s="535"/>
      <c r="B5" s="536" t="str">
        <f>Total!D4</f>
        <v>SEPM</v>
      </c>
      <c r="C5" s="536" t="str">
        <f>Total!E4</f>
        <v>BOP</v>
      </c>
      <c r="D5" s="536" t="str">
        <f>Total!F4</f>
        <v>PEU_DÉROULAGE</v>
      </c>
      <c r="E5" s="536" t="str">
        <f>Total!G4</f>
        <v>PET</v>
      </c>
      <c r="F5" s="602" t="str">
        <f>Total!H4</f>
        <v>-</v>
      </c>
      <c r="G5" s="602" t="str">
        <f>Total!I4</f>
        <v>-</v>
      </c>
      <c r="H5" s="602" t="str">
        <f>Total!J4</f>
        <v>-</v>
      </c>
      <c r="I5" s="536" t="str">
        <f>Total!K4</f>
        <v>-</v>
      </c>
      <c r="J5" s="536" t="str">
        <f>Total!L4</f>
        <v>SEPM</v>
      </c>
      <c r="K5" s="536" t="str">
        <f>Total!M4</f>
        <v>BOP</v>
      </c>
      <c r="L5" s="536" t="str">
        <f>Total!N4</f>
        <v>PEU_DÉROULAGE</v>
      </c>
      <c r="M5" s="536" t="str">
        <f>Total!O4</f>
        <v>PET</v>
      </c>
      <c r="N5" s="602" t="str">
        <f>Total!P4</f>
        <v>-</v>
      </c>
      <c r="O5" s="602" t="str">
        <f>Total!Q4</f>
        <v>-</v>
      </c>
      <c r="P5" s="602" t="str">
        <f>Total!R4</f>
        <v>-</v>
      </c>
      <c r="Q5" s="15" t="str">
        <f>Total!S4</f>
        <v>-</v>
      </c>
      <c r="R5" s="535"/>
      <c r="S5" s="535"/>
      <c r="T5" s="535"/>
      <c r="U5" s="535"/>
      <c r="V5" s="535"/>
      <c r="W5" s="535"/>
    </row>
    <row r="6" spans="1:23" s="10" customFormat="1" ht="14.25" customHeight="1" thickBot="1" x14ac:dyDescent="0.3">
      <c r="A6" s="535"/>
      <c r="B6" s="552">
        <f>Total!D5</f>
        <v>11000</v>
      </c>
      <c r="C6" s="552">
        <f>Total!E5</f>
        <v>2000</v>
      </c>
      <c r="D6" s="552">
        <f>Total!F5</f>
        <v>266</v>
      </c>
      <c r="E6" s="552">
        <f>Total!G5</f>
        <v>2500</v>
      </c>
      <c r="F6" s="552">
        <f>Total!H5</f>
        <v>0</v>
      </c>
      <c r="G6" s="552">
        <f>Total!I5</f>
        <v>0</v>
      </c>
      <c r="H6" s="552">
        <f>Total!J5</f>
        <v>0</v>
      </c>
      <c r="I6" s="552">
        <f>Total!K5</f>
        <v>0</v>
      </c>
      <c r="J6" s="552">
        <f>Total!L5</f>
        <v>11000</v>
      </c>
      <c r="K6" s="552">
        <f>Total!M5</f>
        <v>2000</v>
      </c>
      <c r="L6" s="552">
        <f>Total!N5</f>
        <v>266</v>
      </c>
      <c r="M6" s="552">
        <f>Total!O5</f>
        <v>2500</v>
      </c>
      <c r="N6" s="552">
        <f>Total!P5</f>
        <v>0</v>
      </c>
      <c r="O6" s="552">
        <f>Total!Q5</f>
        <v>0</v>
      </c>
      <c r="P6" s="552">
        <f>Total!R5</f>
        <v>0</v>
      </c>
      <c r="Q6" s="556">
        <f>Total!S5</f>
        <v>0</v>
      </c>
      <c r="R6" s="535"/>
      <c r="S6" s="535"/>
      <c r="T6" s="535"/>
      <c r="U6" s="535"/>
      <c r="V6" s="535"/>
      <c r="W6" s="535"/>
    </row>
    <row r="7" spans="1:23" s="10" customFormat="1" ht="14.25" customHeight="1" thickBot="1" x14ac:dyDescent="0.3">
      <c r="A7" s="535"/>
      <c r="B7" s="823">
        <f>SUM(B6:I6)</f>
        <v>15766</v>
      </c>
      <c r="C7" s="824"/>
      <c r="D7" s="824"/>
      <c r="E7" s="824"/>
      <c r="F7" s="824"/>
      <c r="G7" s="824"/>
      <c r="H7" s="824"/>
      <c r="I7" s="825"/>
      <c r="J7" s="823">
        <f>SUM(J6:Q6)</f>
        <v>15766</v>
      </c>
      <c r="K7" s="824"/>
      <c r="L7" s="824"/>
      <c r="M7" s="824"/>
      <c r="N7" s="824"/>
      <c r="O7" s="824"/>
      <c r="P7" s="824"/>
      <c r="Q7" s="825"/>
    </row>
    <row r="8" spans="1:23" s="10" customFormat="1" ht="14.25" customHeight="1" thickBot="1" x14ac:dyDescent="0.3">
      <c r="A8" s="432" t="s">
        <v>333</v>
      </c>
      <c r="B8" s="628">
        <f>B6*(D19/1000)</f>
        <v>9680</v>
      </c>
      <c r="C8" s="628">
        <f t="shared" ref="C8:I8" si="0">C6*(E19/1000)</f>
        <v>2160</v>
      </c>
      <c r="D8" s="628">
        <f t="shared" si="0"/>
        <v>247.38000000000002</v>
      </c>
      <c r="E8" s="628">
        <f t="shared" si="0"/>
        <v>2325</v>
      </c>
      <c r="F8" s="628">
        <f t="shared" si="0"/>
        <v>0</v>
      </c>
      <c r="G8" s="628">
        <f t="shared" si="0"/>
        <v>0</v>
      </c>
      <c r="H8" s="628">
        <f t="shared" si="0"/>
        <v>0</v>
      </c>
      <c r="I8" s="628">
        <f t="shared" si="0"/>
        <v>0</v>
      </c>
      <c r="J8" s="629">
        <f>J6*(D34/1000)</f>
        <v>0</v>
      </c>
      <c r="K8" s="629">
        <f t="shared" ref="K8:Q8" si="1">K6*(E34/1000)</f>
        <v>0</v>
      </c>
      <c r="L8" s="629">
        <f t="shared" si="1"/>
        <v>0</v>
      </c>
      <c r="M8" s="629">
        <f t="shared" si="1"/>
        <v>0</v>
      </c>
      <c r="N8" s="629">
        <f t="shared" si="1"/>
        <v>0</v>
      </c>
      <c r="O8" s="629">
        <f t="shared" si="1"/>
        <v>0</v>
      </c>
      <c r="P8" s="629">
        <f t="shared" si="1"/>
        <v>0</v>
      </c>
      <c r="Q8" s="629">
        <f t="shared" si="1"/>
        <v>0</v>
      </c>
    </row>
    <row r="9" spans="1:23" ht="14.25" customHeight="1" thickBot="1" x14ac:dyDescent="0.3"/>
    <row r="10" spans="1:23" ht="15" customHeight="1" x14ac:dyDescent="0.25">
      <c r="B10" s="778" t="s">
        <v>123</v>
      </c>
      <c r="C10" s="779"/>
      <c r="D10" s="779"/>
      <c r="E10" s="779"/>
      <c r="F10" s="779"/>
      <c r="G10" s="779"/>
      <c r="H10" s="779"/>
      <c r="I10" s="779"/>
      <c r="J10" s="779"/>
      <c r="K10" s="780"/>
    </row>
    <row r="11" spans="1:23" ht="15.75" customHeight="1" thickBot="1" x14ac:dyDescent="0.3">
      <c r="B11" s="781"/>
      <c r="C11" s="782"/>
      <c r="D11" s="782"/>
      <c r="E11" s="782"/>
      <c r="F11" s="782"/>
      <c r="G11" s="782"/>
      <c r="H11" s="782"/>
      <c r="I11" s="782"/>
      <c r="J11" s="782"/>
      <c r="K11" s="783"/>
    </row>
    <row r="12" spans="1:23" ht="15.75" thickBot="1" x14ac:dyDescent="0.3">
      <c r="B12" s="598" t="s">
        <v>1</v>
      </c>
      <c r="C12" s="615" t="s">
        <v>3</v>
      </c>
      <c r="D12" s="309" t="str">
        <f>Total!D4</f>
        <v>SEPM</v>
      </c>
      <c r="E12" s="309" t="str">
        <f>Total!E4</f>
        <v>BOP</v>
      </c>
      <c r="F12" s="309" t="str">
        <f>Total!F4</f>
        <v>PEU_DÉROULAGE</v>
      </c>
      <c r="G12" s="309" t="str">
        <f>Total!G4</f>
        <v>PET</v>
      </c>
      <c r="H12" s="309" t="str">
        <f>Total!H4</f>
        <v>-</v>
      </c>
      <c r="I12" s="309" t="str">
        <f>Total!I4</f>
        <v>-</v>
      </c>
      <c r="J12" s="309" t="str">
        <f>Total!J4</f>
        <v>-</v>
      </c>
      <c r="K12" s="652" t="str">
        <f>Total!K4</f>
        <v>-</v>
      </c>
      <c r="N12" s="785" t="s">
        <v>223</v>
      </c>
      <c r="O12" s="787"/>
    </row>
    <row r="13" spans="1:23" x14ac:dyDescent="0.25">
      <c r="B13" s="795" t="s">
        <v>116</v>
      </c>
      <c r="C13" s="638" t="s">
        <v>117</v>
      </c>
      <c r="D13" s="119">
        <v>78.849999999999994</v>
      </c>
      <c r="E13" s="18">
        <v>78.08</v>
      </c>
      <c r="F13" s="18">
        <v>78.849999999999994</v>
      </c>
      <c r="G13" s="18">
        <v>78.08</v>
      </c>
      <c r="H13" s="18">
        <v>0</v>
      </c>
      <c r="I13" s="18">
        <v>0</v>
      </c>
      <c r="J13" s="18">
        <v>0</v>
      </c>
      <c r="K13" s="19">
        <v>0</v>
      </c>
      <c r="N13" s="180" t="s">
        <v>229</v>
      </c>
      <c r="O13" s="424">
        <v>25</v>
      </c>
    </row>
    <row r="14" spans="1:23" ht="15.75" thickBot="1" x14ac:dyDescent="0.3">
      <c r="B14" s="805"/>
      <c r="C14" s="638" t="s">
        <v>120</v>
      </c>
      <c r="D14" s="177">
        <v>8.9</v>
      </c>
      <c r="E14" s="187">
        <v>11.14</v>
      </c>
      <c r="F14" s="187">
        <v>9.6</v>
      </c>
      <c r="G14" s="187">
        <v>11.14</v>
      </c>
      <c r="H14" s="187">
        <v>0</v>
      </c>
      <c r="I14" s="187">
        <v>0</v>
      </c>
      <c r="J14" s="187">
        <v>0</v>
      </c>
      <c r="K14" s="31">
        <v>0</v>
      </c>
      <c r="N14" s="169" t="s">
        <v>225</v>
      </c>
      <c r="O14" s="425">
        <v>0</v>
      </c>
    </row>
    <row r="15" spans="1:23" x14ac:dyDescent="0.25">
      <c r="B15" s="805"/>
      <c r="C15" s="639" t="s">
        <v>121</v>
      </c>
      <c r="D15" s="132">
        <v>34.5</v>
      </c>
      <c r="E15" s="12">
        <v>34</v>
      </c>
      <c r="F15" s="12">
        <v>35</v>
      </c>
      <c r="G15" s="12">
        <v>34.5</v>
      </c>
      <c r="H15" s="12">
        <v>0</v>
      </c>
      <c r="I15" s="12">
        <v>0</v>
      </c>
      <c r="J15" s="12">
        <v>0</v>
      </c>
      <c r="K15" s="37">
        <v>0</v>
      </c>
    </row>
    <row r="16" spans="1:23" s="10" customFormat="1" x14ac:dyDescent="0.25">
      <c r="B16" s="805"/>
      <c r="C16" s="640" t="s">
        <v>336</v>
      </c>
      <c r="D16" s="112">
        <f>IF(B6=0,0,(($O$13*$O$14)*((B8/D15)*D14))/B8)</f>
        <v>0</v>
      </c>
      <c r="E16" s="67">
        <f t="shared" ref="E16:K16" si="2">IF(C6=0,0,(($O$13*$O$14)*((C8/E15)*E14))/C8)</f>
        <v>0</v>
      </c>
      <c r="F16" s="67">
        <f t="shared" si="2"/>
        <v>0</v>
      </c>
      <c r="G16" s="67">
        <f t="shared" si="2"/>
        <v>0</v>
      </c>
      <c r="H16" s="67">
        <f t="shared" si="2"/>
        <v>0</v>
      </c>
      <c r="I16" s="67">
        <f t="shared" si="2"/>
        <v>0</v>
      </c>
      <c r="J16" s="67">
        <f t="shared" si="2"/>
        <v>0</v>
      </c>
      <c r="K16" s="68">
        <f t="shared" si="2"/>
        <v>0</v>
      </c>
      <c r="M16"/>
      <c r="N16"/>
    </row>
    <row r="17" spans="2:15" x14ac:dyDescent="0.25">
      <c r="B17" s="805"/>
      <c r="C17" s="640" t="s">
        <v>118</v>
      </c>
      <c r="D17" s="112">
        <f>IF(B6=0,0,(D13*D14)/D15)</f>
        <v>20.341014492753622</v>
      </c>
      <c r="E17" s="67">
        <f t="shared" ref="E17:G17" si="3">IF(C6=0,0,(E13*E14)/E15)</f>
        <v>25.582682352941177</v>
      </c>
      <c r="F17" s="67">
        <f t="shared" si="3"/>
        <v>21.62742857142857</v>
      </c>
      <c r="G17" s="67">
        <f t="shared" si="3"/>
        <v>25.21191884057971</v>
      </c>
      <c r="H17" s="67">
        <f t="shared" ref="H17" si="4">IF(F6=0,0,(H13*H14)/H15)</f>
        <v>0</v>
      </c>
      <c r="I17" s="67">
        <f t="shared" ref="I17" si="5">IF(G6=0,0,(I13*I14)/I15)</f>
        <v>0</v>
      </c>
      <c r="J17" s="67">
        <f t="shared" ref="J17" si="6">IF(H6=0,0,(J13*J14)/J15)</f>
        <v>0</v>
      </c>
      <c r="K17" s="68">
        <f>IF(I6=0,0,(K13*K14)/K15)</f>
        <v>0</v>
      </c>
    </row>
    <row r="18" spans="2:15" x14ac:dyDescent="0.25">
      <c r="B18" s="805"/>
      <c r="C18" s="639" t="s">
        <v>122</v>
      </c>
      <c r="D18" s="184">
        <v>0</v>
      </c>
      <c r="E18" s="185">
        <v>0</v>
      </c>
      <c r="F18" s="185">
        <v>0</v>
      </c>
      <c r="G18" s="185">
        <v>0</v>
      </c>
      <c r="H18" s="185">
        <v>0</v>
      </c>
      <c r="I18" s="185">
        <v>0</v>
      </c>
      <c r="J18" s="185">
        <v>0</v>
      </c>
      <c r="K18" s="40">
        <v>0</v>
      </c>
    </row>
    <row r="19" spans="2:15" ht="15.75" thickBot="1" x14ac:dyDescent="0.3">
      <c r="B19" s="805"/>
      <c r="C19" s="640" t="s">
        <v>119</v>
      </c>
      <c r="D19" s="220">
        <f>Chargement!C12</f>
        <v>880</v>
      </c>
      <c r="E19" s="69">
        <f>Chargement!D12</f>
        <v>1080</v>
      </c>
      <c r="F19" s="69">
        <f>Chargement!E12</f>
        <v>930</v>
      </c>
      <c r="G19" s="69">
        <f>Chargement!F12</f>
        <v>930</v>
      </c>
      <c r="H19" s="69">
        <f>Chargement!G12</f>
        <v>0</v>
      </c>
      <c r="I19" s="69">
        <f>Chargement!H12</f>
        <v>0</v>
      </c>
      <c r="J19" s="69">
        <f>Chargement!I12</f>
        <v>0</v>
      </c>
      <c r="K19" s="111">
        <f>Chargement!J12</f>
        <v>0</v>
      </c>
    </row>
    <row r="20" spans="2:15" ht="15" customHeight="1" thickBot="1" x14ac:dyDescent="0.3">
      <c r="B20" s="805"/>
      <c r="C20" s="643" t="s">
        <v>97</v>
      </c>
      <c r="D20" s="85">
        <f>D16+D17</f>
        <v>20.341014492753622</v>
      </c>
      <c r="E20" s="70">
        <f t="shared" ref="E20:K20" si="7">E16+E17</f>
        <v>25.582682352941177</v>
      </c>
      <c r="F20" s="70">
        <f t="shared" si="7"/>
        <v>21.62742857142857</v>
      </c>
      <c r="G20" s="70">
        <f t="shared" si="7"/>
        <v>25.21191884057971</v>
      </c>
      <c r="H20" s="70">
        <f t="shared" si="7"/>
        <v>0</v>
      </c>
      <c r="I20" s="70">
        <f t="shared" si="7"/>
        <v>0</v>
      </c>
      <c r="J20" s="70">
        <f t="shared" si="7"/>
        <v>0</v>
      </c>
      <c r="K20" s="71">
        <f t="shared" si="7"/>
        <v>0</v>
      </c>
      <c r="L20" t="s">
        <v>107</v>
      </c>
    </row>
    <row r="21" spans="2:15" ht="15.75" customHeight="1" thickBot="1" x14ac:dyDescent="0.3">
      <c r="B21" s="805"/>
      <c r="C21" s="644" t="s">
        <v>155</v>
      </c>
      <c r="D21" s="86">
        <f t="shared" ref="D21:K21" si="8">D20*$L$21</f>
        <v>0.61023043478260863</v>
      </c>
      <c r="E21" s="65">
        <f t="shared" si="8"/>
        <v>0.76748047058823532</v>
      </c>
      <c r="F21" s="65">
        <f t="shared" si="8"/>
        <v>0.64882285714285703</v>
      </c>
      <c r="G21" s="65">
        <f t="shared" si="8"/>
        <v>0.75635756521739128</v>
      </c>
      <c r="H21" s="65">
        <f t="shared" si="8"/>
        <v>0</v>
      </c>
      <c r="I21" s="65">
        <f t="shared" si="8"/>
        <v>0</v>
      </c>
      <c r="J21" s="65">
        <f t="shared" si="8"/>
        <v>0</v>
      </c>
      <c r="K21" s="72">
        <f t="shared" si="8"/>
        <v>0</v>
      </c>
      <c r="L21" s="231">
        <f>Total!V57</f>
        <v>0.03</v>
      </c>
    </row>
    <row r="22" spans="2:15" ht="15.75" thickBot="1" x14ac:dyDescent="0.3">
      <c r="B22" s="805"/>
      <c r="C22" s="658" t="s">
        <v>21</v>
      </c>
      <c r="D22" s="646">
        <f>D20+D21</f>
        <v>20.95124492753623</v>
      </c>
      <c r="E22" s="568">
        <f t="shared" ref="E22:K22" si="9">E20+E21</f>
        <v>26.350162823529413</v>
      </c>
      <c r="F22" s="568">
        <f t="shared" si="9"/>
        <v>22.276251428571427</v>
      </c>
      <c r="G22" s="568">
        <f t="shared" si="9"/>
        <v>25.968276405797102</v>
      </c>
      <c r="H22" s="568">
        <f t="shared" si="9"/>
        <v>0</v>
      </c>
      <c r="I22" s="568">
        <f t="shared" si="9"/>
        <v>0</v>
      </c>
      <c r="J22" s="568">
        <f t="shared" si="9"/>
        <v>0</v>
      </c>
      <c r="K22" s="647">
        <f t="shared" si="9"/>
        <v>0</v>
      </c>
      <c r="L22" s="10" t="s">
        <v>107</v>
      </c>
    </row>
    <row r="23" spans="2:15" s="10" customFormat="1" ht="15.75" thickBot="1" x14ac:dyDescent="0.3">
      <c r="B23" s="797"/>
      <c r="C23" s="140" t="s">
        <v>335</v>
      </c>
      <c r="D23" s="77">
        <f>D22*(D19/1000)</f>
        <v>18.437095536231883</v>
      </c>
      <c r="E23" s="78">
        <f t="shared" ref="E23:K23" si="10">E22*(E19/1000)</f>
        <v>28.458175849411766</v>
      </c>
      <c r="F23" s="78">
        <f t="shared" si="10"/>
        <v>20.716913828571428</v>
      </c>
      <c r="G23" s="78">
        <f t="shared" si="10"/>
        <v>24.150497057391306</v>
      </c>
      <c r="H23" s="78">
        <f t="shared" si="10"/>
        <v>0</v>
      </c>
      <c r="I23" s="78">
        <f t="shared" si="10"/>
        <v>0</v>
      </c>
      <c r="J23" s="78">
        <f t="shared" si="10"/>
        <v>0</v>
      </c>
      <c r="K23" s="79">
        <f t="shared" si="10"/>
        <v>0</v>
      </c>
    </row>
    <row r="24" spans="2:15" ht="15.75" thickBot="1" x14ac:dyDescent="0.3">
      <c r="B24" s="51"/>
    </row>
    <row r="25" spans="2:15" ht="15" customHeight="1" x14ac:dyDescent="0.25">
      <c r="B25" s="778" t="s">
        <v>124</v>
      </c>
      <c r="C25" s="779"/>
      <c r="D25" s="779"/>
      <c r="E25" s="779"/>
      <c r="F25" s="779"/>
      <c r="G25" s="779"/>
      <c r="H25" s="779"/>
      <c r="I25" s="779"/>
      <c r="J25" s="779"/>
      <c r="K25" s="780"/>
    </row>
    <row r="26" spans="2:15" ht="15.75" customHeight="1" thickBot="1" x14ac:dyDescent="0.3">
      <c r="B26" s="781"/>
      <c r="C26" s="782"/>
      <c r="D26" s="782"/>
      <c r="E26" s="782"/>
      <c r="F26" s="782"/>
      <c r="G26" s="782"/>
      <c r="H26" s="782"/>
      <c r="I26" s="782"/>
      <c r="J26" s="782"/>
      <c r="K26" s="783"/>
    </row>
    <row r="27" spans="2:15" ht="15.75" thickBot="1" x14ac:dyDescent="0.3">
      <c r="B27" s="39" t="s">
        <v>1</v>
      </c>
      <c r="C27" s="130" t="s">
        <v>3</v>
      </c>
      <c r="D27" s="408" t="str">
        <f>Total!L4</f>
        <v>SEPM</v>
      </c>
      <c r="E27" s="409" t="str">
        <f>Total!M4</f>
        <v>BOP</v>
      </c>
      <c r="F27" s="409" t="str">
        <f>Total!N4</f>
        <v>PEU_DÉROULAGE</v>
      </c>
      <c r="G27" s="409" t="str">
        <f>Total!O4</f>
        <v>PET</v>
      </c>
      <c r="H27" s="409" t="str">
        <f>Total!P4</f>
        <v>-</v>
      </c>
      <c r="I27" s="409" t="str">
        <f>Total!Q4</f>
        <v>-</v>
      </c>
      <c r="J27" s="409" t="str">
        <f>Total!R4</f>
        <v>-</v>
      </c>
      <c r="K27" s="410" t="str">
        <f>Total!S4</f>
        <v>-</v>
      </c>
    </row>
    <row r="28" spans="2:15" x14ac:dyDescent="0.25">
      <c r="B28" s="795" t="s">
        <v>116</v>
      </c>
      <c r="C28" s="638" t="s">
        <v>117</v>
      </c>
      <c r="D28" s="119">
        <v>0</v>
      </c>
      <c r="E28" s="18">
        <v>0</v>
      </c>
      <c r="F28" s="18">
        <v>0</v>
      </c>
      <c r="G28" s="18">
        <v>0</v>
      </c>
      <c r="H28" s="18">
        <v>0</v>
      </c>
      <c r="I28" s="18">
        <v>0</v>
      </c>
      <c r="J28" s="18">
        <v>0</v>
      </c>
      <c r="K28" s="19">
        <v>0</v>
      </c>
    </row>
    <row r="29" spans="2:15" x14ac:dyDescent="0.25">
      <c r="B29" s="805"/>
      <c r="C29" s="638" t="s">
        <v>120</v>
      </c>
      <c r="D29" s="132">
        <v>0</v>
      </c>
      <c r="E29" s="187">
        <v>0</v>
      </c>
      <c r="F29" s="187">
        <v>0</v>
      </c>
      <c r="G29" s="187">
        <v>0</v>
      </c>
      <c r="H29" s="187">
        <v>0</v>
      </c>
      <c r="I29" s="187">
        <v>0</v>
      </c>
      <c r="J29" s="187">
        <v>0</v>
      </c>
      <c r="K29" s="31">
        <v>0</v>
      </c>
      <c r="N29" s="10"/>
      <c r="O29" s="10"/>
    </row>
    <row r="30" spans="2:15" x14ac:dyDescent="0.25">
      <c r="B30" s="805"/>
      <c r="C30" s="639" t="s">
        <v>121</v>
      </c>
      <c r="D30" s="132">
        <v>0</v>
      </c>
      <c r="E30" s="12">
        <v>0</v>
      </c>
      <c r="F30" s="12">
        <v>0</v>
      </c>
      <c r="G30" s="12">
        <v>0</v>
      </c>
      <c r="H30" s="12">
        <v>0</v>
      </c>
      <c r="I30" s="12">
        <v>0</v>
      </c>
      <c r="J30" s="12">
        <v>0</v>
      </c>
      <c r="K30" s="37">
        <v>0</v>
      </c>
    </row>
    <row r="31" spans="2:15" s="10" customFormat="1" x14ac:dyDescent="0.25">
      <c r="B31" s="805"/>
      <c r="C31" s="640" t="s">
        <v>336</v>
      </c>
      <c r="D31" s="112" t="e">
        <f>IF(J6=0,0,(($O$13*$O$14)*((J8/D30)*D29))/J8)</f>
        <v>#DIV/0!</v>
      </c>
      <c r="E31" s="67" t="e">
        <f t="shared" ref="E31:K31" si="11">IF(K6=0,0,(($O$13*$O$14)*((K8/E30)*E29))/K8)</f>
        <v>#DIV/0!</v>
      </c>
      <c r="F31" s="67" t="e">
        <f t="shared" si="11"/>
        <v>#DIV/0!</v>
      </c>
      <c r="G31" s="67" t="e">
        <f t="shared" si="11"/>
        <v>#DIV/0!</v>
      </c>
      <c r="H31" s="67">
        <f t="shared" si="11"/>
        <v>0</v>
      </c>
      <c r="I31" s="67">
        <f t="shared" si="11"/>
        <v>0</v>
      </c>
      <c r="J31" s="67">
        <f t="shared" si="11"/>
        <v>0</v>
      </c>
      <c r="K31" s="68">
        <f t="shared" si="11"/>
        <v>0</v>
      </c>
      <c r="N31"/>
      <c r="O31"/>
    </row>
    <row r="32" spans="2:15" x14ac:dyDescent="0.25">
      <c r="B32" s="805"/>
      <c r="C32" s="640" t="s">
        <v>118</v>
      </c>
      <c r="D32" s="112" t="e">
        <f>IF(J6=0,0,(D28*D29)/D30)</f>
        <v>#DIV/0!</v>
      </c>
      <c r="E32" s="67" t="e">
        <f>IF(K6=0,0,(E28*E29)/E30)</f>
        <v>#DIV/0!</v>
      </c>
      <c r="F32" s="67" t="e">
        <f>IF(L6=0,0,(F28*F29)/F30)</f>
        <v>#DIV/0!</v>
      </c>
      <c r="G32" s="67" t="e">
        <f>IF(M6=0,0,(G28*G29)/G30)</f>
        <v>#DIV/0!</v>
      </c>
      <c r="H32" s="67">
        <f t="shared" ref="H32:J32" si="12">IF(N6=0,0,(H28*H29)/H30)</f>
        <v>0</v>
      </c>
      <c r="I32" s="67">
        <f t="shared" si="12"/>
        <v>0</v>
      </c>
      <c r="J32" s="67">
        <f t="shared" si="12"/>
        <v>0</v>
      </c>
      <c r="K32" s="68">
        <f>IF(Q6=0,0,(K28*K29)/K30)</f>
        <v>0</v>
      </c>
    </row>
    <row r="33" spans="2:12" x14ac:dyDescent="0.25">
      <c r="B33" s="805"/>
      <c r="C33" s="639" t="s">
        <v>122</v>
      </c>
      <c r="D33" s="184">
        <v>0</v>
      </c>
      <c r="E33" s="185">
        <v>0</v>
      </c>
      <c r="F33" s="185">
        <v>0</v>
      </c>
      <c r="G33" s="185">
        <v>0</v>
      </c>
      <c r="H33" s="185">
        <v>0</v>
      </c>
      <c r="I33" s="185">
        <v>0</v>
      </c>
      <c r="J33" s="185">
        <v>0</v>
      </c>
      <c r="K33" s="40">
        <v>0</v>
      </c>
    </row>
    <row r="34" spans="2:12" ht="15.75" thickBot="1" x14ac:dyDescent="0.3">
      <c r="B34" s="805"/>
      <c r="C34" s="640" t="s">
        <v>119</v>
      </c>
      <c r="D34" s="220">
        <f>Chargement!K12</f>
        <v>0</v>
      </c>
      <c r="E34" s="69">
        <f>Chargement!L12</f>
        <v>0</v>
      </c>
      <c r="F34" s="69">
        <f>Chargement!M12</f>
        <v>0</v>
      </c>
      <c r="G34" s="69">
        <f>Chargement!N12</f>
        <v>0</v>
      </c>
      <c r="H34" s="69">
        <f>Chargement!O12</f>
        <v>0</v>
      </c>
      <c r="I34" s="69">
        <f>Chargement!P12</f>
        <v>0</v>
      </c>
      <c r="J34" s="69">
        <f>Chargement!Q12</f>
        <v>0</v>
      </c>
      <c r="K34" s="111">
        <f>Chargement!R12</f>
        <v>0</v>
      </c>
    </row>
    <row r="35" spans="2:12" ht="15.75" thickBot="1" x14ac:dyDescent="0.3">
      <c r="B35" s="805"/>
      <c r="C35" s="643" t="s">
        <v>97</v>
      </c>
      <c r="D35" s="85" t="e">
        <f>D31+D32</f>
        <v>#DIV/0!</v>
      </c>
      <c r="E35" s="70" t="e">
        <f t="shared" ref="E35:K35" si="13">E31+E32</f>
        <v>#DIV/0!</v>
      </c>
      <c r="F35" s="70" t="e">
        <f t="shared" si="13"/>
        <v>#DIV/0!</v>
      </c>
      <c r="G35" s="70" t="e">
        <f t="shared" si="13"/>
        <v>#DIV/0!</v>
      </c>
      <c r="H35" s="70">
        <f t="shared" si="13"/>
        <v>0</v>
      </c>
      <c r="I35" s="70">
        <f t="shared" si="13"/>
        <v>0</v>
      </c>
      <c r="J35" s="70">
        <f t="shared" si="13"/>
        <v>0</v>
      </c>
      <c r="K35" s="71">
        <f t="shared" si="13"/>
        <v>0</v>
      </c>
      <c r="L35" t="s">
        <v>107</v>
      </c>
    </row>
    <row r="36" spans="2:12" ht="15.75" thickBot="1" x14ac:dyDescent="0.3">
      <c r="B36" s="805"/>
      <c r="C36" s="644" t="s">
        <v>156</v>
      </c>
      <c r="D36" s="86" t="e">
        <f>D35*$L$36</f>
        <v>#DIV/0!</v>
      </c>
      <c r="E36" s="65" t="e">
        <f>E35*$L$36</f>
        <v>#DIV/0!</v>
      </c>
      <c r="F36" s="65" t="e">
        <f>F35*$L$36</f>
        <v>#DIV/0!</v>
      </c>
      <c r="G36" s="65" t="e">
        <f>G35*$L$36</f>
        <v>#DIV/0!</v>
      </c>
      <c r="H36" s="65">
        <f t="shared" ref="H36:J36" si="14">H35*$L$36</f>
        <v>0</v>
      </c>
      <c r="I36" s="65">
        <f t="shared" si="14"/>
        <v>0</v>
      </c>
      <c r="J36" s="65">
        <f t="shared" si="14"/>
        <v>0</v>
      </c>
      <c r="K36" s="72">
        <f>K35*$L$36</f>
        <v>0</v>
      </c>
      <c r="L36" s="231">
        <f>Total!V57</f>
        <v>0.03</v>
      </c>
    </row>
    <row r="37" spans="2:12" ht="15.75" thickBot="1" x14ac:dyDescent="0.3">
      <c r="B37" s="805"/>
      <c r="C37" s="658" t="s">
        <v>21</v>
      </c>
      <c r="D37" s="646" t="e">
        <f>D35+D36</f>
        <v>#DIV/0!</v>
      </c>
      <c r="E37" s="568" t="e">
        <f t="shared" ref="E37:K37" si="15">E35+E36</f>
        <v>#DIV/0!</v>
      </c>
      <c r="F37" s="568" t="e">
        <f t="shared" si="15"/>
        <v>#DIV/0!</v>
      </c>
      <c r="G37" s="568" t="e">
        <f t="shared" si="15"/>
        <v>#DIV/0!</v>
      </c>
      <c r="H37" s="568">
        <f t="shared" si="15"/>
        <v>0</v>
      </c>
      <c r="I37" s="568">
        <f t="shared" si="15"/>
        <v>0</v>
      </c>
      <c r="J37" s="568">
        <f t="shared" si="15"/>
        <v>0</v>
      </c>
      <c r="K37" s="647">
        <f t="shared" si="15"/>
        <v>0</v>
      </c>
      <c r="L37" s="10" t="s">
        <v>107</v>
      </c>
    </row>
    <row r="38" spans="2:12" s="10" customFormat="1" ht="15.75" thickBot="1" x14ac:dyDescent="0.3">
      <c r="B38" s="797"/>
      <c r="C38" s="140" t="s">
        <v>140</v>
      </c>
      <c r="D38" s="77" t="e">
        <f>D37*(D34/1000)</f>
        <v>#DIV/0!</v>
      </c>
      <c r="E38" s="78" t="e">
        <f t="shared" ref="E38:K38" si="16">E37*(E34/1000)</f>
        <v>#DIV/0!</v>
      </c>
      <c r="F38" s="78" t="e">
        <f t="shared" si="16"/>
        <v>#DIV/0!</v>
      </c>
      <c r="G38" s="78" t="e">
        <f t="shared" si="16"/>
        <v>#DIV/0!</v>
      </c>
      <c r="H38" s="78">
        <f t="shared" si="16"/>
        <v>0</v>
      </c>
      <c r="I38" s="78">
        <f t="shared" si="16"/>
        <v>0</v>
      </c>
      <c r="J38" s="78">
        <f t="shared" si="16"/>
        <v>0</v>
      </c>
      <c r="K38" s="79">
        <f t="shared" si="16"/>
        <v>0</v>
      </c>
    </row>
  </sheetData>
  <mergeCells count="11">
    <mergeCell ref="A1:Q1"/>
    <mergeCell ref="B13:B23"/>
    <mergeCell ref="B28:B38"/>
    <mergeCell ref="B7:I7"/>
    <mergeCell ref="B10:K11"/>
    <mergeCell ref="B25:K26"/>
    <mergeCell ref="N12:O12"/>
    <mergeCell ref="B2:Q3"/>
    <mergeCell ref="B4:I4"/>
    <mergeCell ref="J4:Q4"/>
    <mergeCell ref="J7:Q7"/>
  </mergeCells>
  <pageMargins left="0.7" right="0.7" top="0.75" bottom="0.75" header="0.3" footer="0.3"/>
  <pageSetup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workbookViewId="0">
      <pane ySplit="1" topLeftCell="A2" activePane="bottomLeft" state="frozen"/>
      <selection pane="bottomLeft" activeCell="G16" sqref="G16"/>
    </sheetView>
  </sheetViews>
  <sheetFormatPr baseColWidth="10" defaultRowHeight="15" x14ac:dyDescent="0.25"/>
  <cols>
    <col min="3" max="3" width="17.85546875" bestFit="1" customWidth="1"/>
    <col min="7" max="7" width="26" customWidth="1"/>
    <col min="8" max="8" width="13" bestFit="1" customWidth="1"/>
    <col min="10" max="10" width="39" bestFit="1" customWidth="1"/>
  </cols>
  <sheetData>
    <row r="1" spans="1:15" s="11" customFormat="1" ht="30" customHeight="1" x14ac:dyDescent="0.25">
      <c r="A1" s="838" t="str">
        <f>Total!C8</f>
        <v>LEMANCEAU_COURT</v>
      </c>
      <c r="B1" s="838"/>
      <c r="C1" s="838"/>
      <c r="D1" s="838"/>
      <c r="E1" s="838"/>
      <c r="F1" s="838"/>
      <c r="G1" s="838"/>
      <c r="H1" s="838"/>
      <c r="I1" s="838"/>
      <c r="J1" s="838"/>
      <c r="K1" s="838"/>
      <c r="L1" s="838"/>
      <c r="M1" s="838"/>
      <c r="N1" s="838"/>
      <c r="O1" s="838"/>
    </row>
    <row r="2" spans="1:15" s="10" customFormat="1" ht="15" customHeight="1" thickBot="1" x14ac:dyDescent="0.3">
      <c r="A2" s="167"/>
      <c r="B2" s="167"/>
      <c r="C2" s="167"/>
      <c r="D2" s="167"/>
      <c r="E2" s="167"/>
      <c r="F2" s="167"/>
      <c r="G2" s="167"/>
    </row>
    <row r="3" spans="1:15" ht="18.75" customHeight="1" thickBot="1" x14ac:dyDescent="0.3">
      <c r="B3" s="795" t="s">
        <v>1</v>
      </c>
      <c r="C3" s="778" t="s">
        <v>85</v>
      </c>
      <c r="D3" s="779"/>
      <c r="E3" s="780"/>
      <c r="G3" s="880" t="s">
        <v>82</v>
      </c>
      <c r="H3" s="881"/>
      <c r="J3" s="791" t="s">
        <v>227</v>
      </c>
      <c r="K3" s="799"/>
    </row>
    <row r="4" spans="1:15" ht="15.75" thickBot="1" x14ac:dyDescent="0.3">
      <c r="B4" s="806"/>
      <c r="C4" s="781"/>
      <c r="D4" s="782"/>
      <c r="E4" s="783"/>
      <c r="G4" s="449" t="s">
        <v>41</v>
      </c>
      <c r="H4" s="626">
        <v>320000</v>
      </c>
      <c r="J4" s="429" t="s">
        <v>226</v>
      </c>
      <c r="K4" s="428">
        <v>1000</v>
      </c>
    </row>
    <row r="5" spans="1:15" ht="15.75" thickBot="1" x14ac:dyDescent="0.3">
      <c r="B5" s="795" t="s">
        <v>91</v>
      </c>
      <c r="C5" s="23" t="s">
        <v>3</v>
      </c>
      <c r="D5" s="121" t="s">
        <v>93</v>
      </c>
      <c r="E5" s="33" t="s">
        <v>92</v>
      </c>
      <c r="G5" s="577" t="s">
        <v>230</v>
      </c>
      <c r="H5" s="578">
        <f>Total!$D$7</f>
        <v>31532</v>
      </c>
      <c r="J5" s="25" t="s">
        <v>225</v>
      </c>
      <c r="K5" s="164">
        <v>0.08</v>
      </c>
    </row>
    <row r="6" spans="1:15" x14ac:dyDescent="0.25">
      <c r="B6" s="805"/>
      <c r="C6" s="24" t="s">
        <v>94</v>
      </c>
      <c r="D6" s="128">
        <v>1</v>
      </c>
      <c r="E6" s="63">
        <f>1-D6</f>
        <v>0</v>
      </c>
      <c r="J6" s="25" t="s">
        <v>231</v>
      </c>
      <c r="K6" s="430">
        <v>40</v>
      </c>
    </row>
    <row r="7" spans="1:15" ht="15.75" customHeight="1" thickBot="1" x14ac:dyDescent="0.3">
      <c r="B7" s="805"/>
      <c r="C7" s="196" t="s">
        <v>227</v>
      </c>
      <c r="D7" s="122">
        <f>$K$8</f>
        <v>0.02</v>
      </c>
      <c r="E7" s="122">
        <f>$K$8</f>
        <v>0.02</v>
      </c>
      <c r="F7" s="10"/>
      <c r="J7" s="26" t="s">
        <v>232</v>
      </c>
      <c r="K7" s="431">
        <v>2</v>
      </c>
    </row>
    <row r="8" spans="1:15" ht="15.75" customHeight="1" thickBot="1" x14ac:dyDescent="0.3">
      <c r="B8" s="805"/>
      <c r="C8" s="196" t="s">
        <v>132</v>
      </c>
      <c r="D8" s="122">
        <v>1.3</v>
      </c>
      <c r="E8" s="96">
        <v>2.5</v>
      </c>
      <c r="F8" s="10" t="s">
        <v>2</v>
      </c>
      <c r="J8" s="297" t="s">
        <v>20</v>
      </c>
      <c r="K8" s="252">
        <f>(K4*K5*K6*K7)/H4</f>
        <v>0.02</v>
      </c>
    </row>
    <row r="9" spans="1:15" ht="15.75" thickBot="1" x14ac:dyDescent="0.3">
      <c r="B9" s="805"/>
      <c r="C9" s="157" t="s">
        <v>39</v>
      </c>
      <c r="D9" s="540">
        <f>IF(H5=0,0,(D8*D6)+(E8*E6)+D7)</f>
        <v>1.32</v>
      </c>
      <c r="E9" s="541"/>
      <c r="F9" t="s">
        <v>2</v>
      </c>
    </row>
    <row r="10" spans="1:15" ht="15.75" thickBot="1" x14ac:dyDescent="0.3">
      <c r="B10" s="805"/>
      <c r="C10" s="193" t="s">
        <v>156</v>
      </c>
      <c r="D10" s="542">
        <f>D9*0.03</f>
        <v>3.9600000000000003E-2</v>
      </c>
      <c r="E10" s="543"/>
      <c r="F10" s="230">
        <f>Total!V57</f>
        <v>0.03</v>
      </c>
    </row>
    <row r="11" spans="1:15" ht="15.75" thickBot="1" x14ac:dyDescent="0.3">
      <c r="B11" s="806"/>
      <c r="C11" s="194" t="s">
        <v>41</v>
      </c>
      <c r="D11" s="878">
        <f>D9+D10</f>
        <v>1.3596000000000001</v>
      </c>
      <c r="E11" s="879"/>
      <c r="F11" s="10" t="s">
        <v>2</v>
      </c>
    </row>
    <row r="14" spans="1:15" x14ac:dyDescent="0.25">
      <c r="G14" s="14"/>
    </row>
  </sheetData>
  <mergeCells count="7">
    <mergeCell ref="D11:E11"/>
    <mergeCell ref="G3:H3"/>
    <mergeCell ref="J3:K3"/>
    <mergeCell ref="B5:B11"/>
    <mergeCell ref="A1:O1"/>
    <mergeCell ref="C3:E4"/>
    <mergeCell ref="B3:B4"/>
  </mergeCell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4"/>
  <sheetViews>
    <sheetView topLeftCell="F1" workbookViewId="0">
      <pane ySplit="1" topLeftCell="A2" activePane="bottomLeft" state="frozen"/>
      <selection pane="bottomLeft" activeCell="C23" sqref="C23"/>
    </sheetView>
  </sheetViews>
  <sheetFormatPr baseColWidth="10" defaultRowHeight="15" x14ac:dyDescent="0.25"/>
  <cols>
    <col min="1" max="1" width="9.85546875" style="10" bestFit="1" customWidth="1"/>
    <col min="2" max="2" width="14.42578125" style="10" bestFit="1" customWidth="1"/>
    <col min="3" max="3" width="18.140625" style="10" bestFit="1" customWidth="1"/>
    <col min="4" max="7" width="11.42578125" style="10"/>
    <col min="8" max="8" width="37.140625" style="10" bestFit="1" customWidth="1"/>
    <col min="9" max="9" width="11.85546875" style="10" customWidth="1"/>
    <col min="10" max="10" width="11.42578125" style="10"/>
    <col min="11" max="11" width="32.28515625" style="10" bestFit="1" customWidth="1"/>
    <col min="12" max="12" width="26.5703125" style="10" bestFit="1" customWidth="1"/>
    <col min="13" max="14" width="11.42578125" style="10"/>
    <col min="15" max="15" width="29.28515625" style="10" bestFit="1" customWidth="1"/>
    <col min="16" max="16384" width="11.42578125" style="10"/>
  </cols>
  <sheetData>
    <row r="1" spans="1:12" ht="36.75" customHeight="1" x14ac:dyDescent="0.25">
      <c r="A1" s="838" t="str">
        <f>Total!C8</f>
        <v>LEMANCEAU_COURT</v>
      </c>
      <c r="B1" s="838"/>
      <c r="C1" s="838"/>
      <c r="D1" s="838"/>
      <c r="E1" s="838"/>
      <c r="F1" s="838"/>
      <c r="G1" s="838"/>
      <c r="H1" s="838"/>
      <c r="I1" s="838"/>
      <c r="J1" s="838"/>
      <c r="K1" s="838"/>
      <c r="L1" s="838"/>
    </row>
    <row r="2" spans="1:12" ht="16.5" customHeight="1" thickBot="1" x14ac:dyDescent="0.3">
      <c r="A2" s="167"/>
      <c r="B2" s="167"/>
      <c r="C2" s="167"/>
      <c r="D2" s="167"/>
      <c r="E2" s="167"/>
      <c r="F2" s="167"/>
      <c r="G2" s="222"/>
      <c r="H2" s="167"/>
      <c r="I2" s="167"/>
      <c r="J2" s="167"/>
      <c r="K2" s="167"/>
      <c r="L2" s="167"/>
    </row>
    <row r="3" spans="1:12" ht="15.75" thickBot="1" x14ac:dyDescent="0.3">
      <c r="H3" s="785" t="s">
        <v>82</v>
      </c>
      <c r="I3" s="787"/>
      <c r="K3" s="791" t="s">
        <v>83</v>
      </c>
      <c r="L3" s="799"/>
    </row>
    <row r="4" spans="1:12" ht="15.75" customHeight="1" thickBot="1" x14ac:dyDescent="0.3">
      <c r="H4" s="886">
        <v>28575</v>
      </c>
      <c r="I4" s="887"/>
      <c r="K4" s="884">
        <v>5</v>
      </c>
      <c r="L4" s="885"/>
    </row>
    <row r="5" spans="1:12" ht="15.75" customHeight="1" thickBot="1" x14ac:dyDescent="0.3">
      <c r="F5" s="11"/>
      <c r="G5" s="11"/>
      <c r="H5" s="11"/>
      <c r="J5" s="1"/>
    </row>
    <row r="6" spans="1:12" ht="15" customHeight="1" thickBot="1" x14ac:dyDescent="0.3">
      <c r="B6" s="800" t="s">
        <v>1</v>
      </c>
      <c r="C6" s="778" t="s">
        <v>85</v>
      </c>
      <c r="D6" s="779"/>
      <c r="E6" s="780"/>
      <c r="F6" s="11"/>
      <c r="G6" s="11"/>
      <c r="H6" s="813" t="s">
        <v>103</v>
      </c>
      <c r="I6" s="888"/>
      <c r="K6" s="882" t="s">
        <v>36</v>
      </c>
      <c r="L6" s="883"/>
    </row>
    <row r="7" spans="1:12" ht="19.5" thickBot="1" x14ac:dyDescent="0.3">
      <c r="B7" s="797"/>
      <c r="C7" s="781"/>
      <c r="D7" s="782"/>
      <c r="E7" s="783"/>
      <c r="F7" s="11"/>
      <c r="G7" s="11"/>
      <c r="H7" s="813">
        <v>7000</v>
      </c>
      <c r="I7" s="888"/>
      <c r="K7" s="27" t="s">
        <v>130</v>
      </c>
      <c r="L7" s="123">
        <v>5</v>
      </c>
    </row>
    <row r="8" spans="1:12" ht="15.75" thickBot="1" x14ac:dyDescent="0.3">
      <c r="B8" s="795" t="s">
        <v>34</v>
      </c>
      <c r="C8" s="23" t="s">
        <v>3</v>
      </c>
      <c r="D8" s="121" t="s">
        <v>87</v>
      </c>
      <c r="E8" s="33" t="s">
        <v>2</v>
      </c>
      <c r="K8" s="25" t="s">
        <v>131</v>
      </c>
      <c r="L8" s="124">
        <v>11</v>
      </c>
    </row>
    <row r="9" spans="1:12" ht="15.75" thickBot="1" x14ac:dyDescent="0.3">
      <c r="B9" s="805"/>
      <c r="C9" s="161" t="s">
        <v>86</v>
      </c>
      <c r="D9" s="66">
        <f>IF(K4=0,0,H7)</f>
        <v>7000</v>
      </c>
      <c r="E9" s="76">
        <f>(D9*K4)/H4</f>
        <v>1.2248468941382327</v>
      </c>
      <c r="H9" s="785" t="s">
        <v>99</v>
      </c>
      <c r="I9" s="787"/>
      <c r="K9" s="26" t="s">
        <v>38</v>
      </c>
      <c r="L9" s="125">
        <v>78.099999999999994</v>
      </c>
    </row>
    <row r="10" spans="1:12" ht="15.75" thickBot="1" x14ac:dyDescent="0.3">
      <c r="B10" s="805"/>
      <c r="C10" s="196" t="s">
        <v>4</v>
      </c>
      <c r="D10" s="122">
        <f>IF(K4=0,0,(IF(H10=0,0,(E10*H4)/K4)))</f>
        <v>605.33391468643276</v>
      </c>
      <c r="E10" s="96">
        <f>IF(K4=0,0,IF($H$10=1,I21,0))</f>
        <v>0.10592019504574501</v>
      </c>
      <c r="H10" s="785">
        <v>1</v>
      </c>
      <c r="I10" s="787"/>
      <c r="K10" s="27" t="s">
        <v>129</v>
      </c>
      <c r="L10" s="123">
        <v>1</v>
      </c>
    </row>
    <row r="11" spans="1:12" ht="15.75" thickBot="1" x14ac:dyDescent="0.3">
      <c r="B11" s="805"/>
      <c r="C11" s="157" t="s">
        <v>39</v>
      </c>
      <c r="D11" s="82">
        <f>SUM(D9:D10)</f>
        <v>7605.3339146864328</v>
      </c>
      <c r="E11" s="71">
        <f>IF(H4=0,0,E10+E9)</f>
        <v>1.3307670891839778</v>
      </c>
      <c r="K11" s="25" t="s">
        <v>37</v>
      </c>
      <c r="L11" s="124">
        <v>11</v>
      </c>
    </row>
    <row r="12" spans="1:12" ht="15.75" thickBot="1" x14ac:dyDescent="0.3">
      <c r="B12" s="805"/>
      <c r="C12" s="193" t="s">
        <v>154</v>
      </c>
      <c r="D12" s="74">
        <f>D11*$F$12</f>
        <v>532.37337402805031</v>
      </c>
      <c r="E12" s="74">
        <f>E11*$F$12</f>
        <v>9.3153696242878448E-2</v>
      </c>
      <c r="F12" s="230">
        <f>Total!V17</f>
        <v>7.0000000000000007E-2</v>
      </c>
      <c r="G12" s="232"/>
      <c r="H12" s="801" t="s">
        <v>29</v>
      </c>
      <c r="I12" s="803"/>
      <c r="K12" s="26" t="s">
        <v>38</v>
      </c>
      <c r="L12" s="125">
        <v>110</v>
      </c>
    </row>
    <row r="13" spans="1:12" ht="15.75" thickBot="1" x14ac:dyDescent="0.3">
      <c r="B13" s="806"/>
      <c r="C13" s="194" t="s">
        <v>41</v>
      </c>
      <c r="D13" s="80">
        <f>D11+D12</f>
        <v>8137.7072887144832</v>
      </c>
      <c r="E13" s="97">
        <f>E12+E11</f>
        <v>1.4239207854268563</v>
      </c>
      <c r="H13" s="160" t="s">
        <v>35</v>
      </c>
      <c r="I13" s="162">
        <f>L16</f>
        <v>0.98292857142857137</v>
      </c>
      <c r="K13" s="27" t="s">
        <v>128</v>
      </c>
      <c r="L13" s="123">
        <v>1</v>
      </c>
    </row>
    <row r="14" spans="1:12" x14ac:dyDescent="0.25">
      <c r="B14" s="51"/>
      <c r="H14" s="126" t="s">
        <v>18</v>
      </c>
      <c r="I14" s="151">
        <v>4</v>
      </c>
      <c r="K14" s="126" t="s">
        <v>37</v>
      </c>
      <c r="L14" s="124">
        <v>11</v>
      </c>
    </row>
    <row r="15" spans="1:12" ht="15.75" thickBot="1" x14ac:dyDescent="0.3">
      <c r="B15" s="51"/>
      <c r="H15" s="137" t="s">
        <v>55</v>
      </c>
      <c r="I15" s="150">
        <f>K4/(L16)</f>
        <v>5.0868396192137206</v>
      </c>
      <c r="K15" s="127" t="s">
        <v>38</v>
      </c>
      <c r="L15" s="125">
        <v>125</v>
      </c>
    </row>
    <row r="16" spans="1:12" ht="15.75" thickBot="1" x14ac:dyDescent="0.3">
      <c r="E16" s="10">
        <f>D13*K4</f>
        <v>40688.536443572419</v>
      </c>
      <c r="H16" s="126" t="s">
        <v>84</v>
      </c>
      <c r="I16" s="151">
        <v>4</v>
      </c>
      <c r="K16" s="140" t="s">
        <v>102</v>
      </c>
      <c r="L16" s="163">
        <f>((L7*L8*L9)+(L10*L11*L12)+(L13*L14*L15))/H7</f>
        <v>0.98292857142857137</v>
      </c>
    </row>
    <row r="17" spans="2:9" x14ac:dyDescent="0.25">
      <c r="H17" s="137" t="s">
        <v>12</v>
      </c>
      <c r="I17" s="150">
        <f>IF(I16=0,0,I15/I16)</f>
        <v>1.2717099048034302</v>
      </c>
    </row>
    <row r="18" spans="2:9" x14ac:dyDescent="0.25">
      <c r="H18" s="137" t="s">
        <v>9</v>
      </c>
      <c r="I18" s="150">
        <f>L7+L10+L13</f>
        <v>7</v>
      </c>
    </row>
    <row r="19" spans="2:9" x14ac:dyDescent="0.25">
      <c r="H19" s="137" t="s">
        <v>16</v>
      </c>
      <c r="I19" s="150">
        <f>I18*I17*I14</f>
        <v>35.607877334496045</v>
      </c>
    </row>
    <row r="20" spans="2:9" ht="15.75" thickBot="1" x14ac:dyDescent="0.3">
      <c r="C20" s="10" t="s">
        <v>401</v>
      </c>
      <c r="H20" s="45" t="s">
        <v>17</v>
      </c>
      <c r="I20" s="153">
        <v>85</v>
      </c>
    </row>
    <row r="21" spans="2:9" ht="15.75" thickBot="1" x14ac:dyDescent="0.3">
      <c r="B21" s="10">
        <f>C21/H4</f>
        <v>2.2825004374453193</v>
      </c>
      <c r="C21" s="10">
        <v>65222.45</v>
      </c>
      <c r="D21" s="10" t="s">
        <v>402</v>
      </c>
      <c r="H21" s="140" t="s">
        <v>20</v>
      </c>
      <c r="I21" s="159">
        <f>(I20*I19)/H4</f>
        <v>0.10592019504574501</v>
      </c>
    </row>
    <row r="22" spans="2:9" x14ac:dyDescent="0.25">
      <c r="B22" s="10">
        <f>C22/H4</f>
        <v>1.4239205599300087</v>
      </c>
      <c r="C22" s="10">
        <v>40688.53</v>
      </c>
      <c r="D22" s="10" t="s">
        <v>403</v>
      </c>
    </row>
    <row r="23" spans="2:9" x14ac:dyDescent="0.25">
      <c r="B23" s="10">
        <f>SUM(B21:B22)</f>
        <v>3.7064209973753277</v>
      </c>
      <c r="C23" s="10">
        <f>SUM(C21:C22)</f>
        <v>105910.98</v>
      </c>
      <c r="D23" s="10" t="s">
        <v>404</v>
      </c>
      <c r="I23" s="10">
        <f>I21*H4</f>
        <v>3026.6695734321638</v>
      </c>
    </row>
    <row r="24" spans="2:9" x14ac:dyDescent="0.25">
      <c r="C24" s="10">
        <f>C23/H4</f>
        <v>3.7064209973753282</v>
      </c>
    </row>
  </sheetData>
  <mergeCells count="14">
    <mergeCell ref="A1:L1"/>
    <mergeCell ref="B8:B13"/>
    <mergeCell ref="K6:L6"/>
    <mergeCell ref="K3:L3"/>
    <mergeCell ref="K4:L4"/>
    <mergeCell ref="B6:B7"/>
    <mergeCell ref="H12:I12"/>
    <mergeCell ref="C6:E7"/>
    <mergeCell ref="H9:I9"/>
    <mergeCell ref="H10:I10"/>
    <mergeCell ref="H3:I3"/>
    <mergeCell ref="H4:I4"/>
    <mergeCell ref="H6:I6"/>
    <mergeCell ref="H7:I7"/>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7"/>
  <sheetViews>
    <sheetView workbookViewId="0">
      <pane ySplit="1" topLeftCell="A11" activePane="bottomLeft" state="frozen"/>
      <selection pane="bottomLeft" activeCell="G40" sqref="G40"/>
    </sheetView>
  </sheetViews>
  <sheetFormatPr baseColWidth="10" defaultRowHeight="15" x14ac:dyDescent="0.25"/>
  <cols>
    <col min="1" max="1" width="22.28515625" style="10" bestFit="1" customWidth="1"/>
    <col min="2" max="2" width="19.42578125" style="10" bestFit="1" customWidth="1"/>
    <col min="3" max="3" width="13" style="10" bestFit="1" customWidth="1"/>
    <col min="4" max="4" width="22.140625" style="10" bestFit="1" customWidth="1"/>
    <col min="5" max="5" width="17.140625" style="10" bestFit="1" customWidth="1"/>
    <col min="6" max="6" width="12.85546875" style="10" bestFit="1" customWidth="1"/>
    <col min="7" max="7" width="17.140625" style="10" bestFit="1" customWidth="1"/>
    <col min="8" max="8" width="18.5703125" style="10" bestFit="1" customWidth="1"/>
    <col min="9" max="9" width="18.5703125" style="10" customWidth="1"/>
    <col min="10" max="10" width="18.5703125" style="10" bestFit="1" customWidth="1"/>
    <col min="11" max="11" width="37.140625" style="10" bestFit="1" customWidth="1"/>
    <col min="12" max="12" width="19" style="10" customWidth="1"/>
    <col min="13" max="13" width="11.42578125" style="10" customWidth="1"/>
    <col min="14" max="14" width="19.42578125" style="10" bestFit="1" customWidth="1"/>
    <col min="15" max="15" width="39" style="10" bestFit="1" customWidth="1"/>
    <col min="16" max="16" width="26.5703125" style="10" bestFit="1" customWidth="1"/>
    <col min="17" max="18" width="11.42578125" style="10"/>
    <col min="19" max="19" width="29.28515625" style="10" bestFit="1" customWidth="1"/>
    <col min="20" max="16384" width="11.42578125" style="10"/>
  </cols>
  <sheetData>
    <row r="1" spans="1:18" ht="26.25" customHeight="1" x14ac:dyDescent="0.25">
      <c r="A1" s="838" t="str">
        <f>Total!C8</f>
        <v>LEMANCEAU_COURT</v>
      </c>
      <c r="B1" s="838"/>
      <c r="C1" s="838"/>
      <c r="D1" s="838"/>
      <c r="E1" s="838"/>
      <c r="F1" s="838"/>
      <c r="G1" s="838"/>
      <c r="H1" s="838"/>
      <c r="I1" s="838"/>
      <c r="J1" s="838"/>
      <c r="K1" s="838"/>
      <c r="L1" s="838"/>
      <c r="M1" s="838"/>
      <c r="N1" s="838"/>
      <c r="O1" s="838"/>
      <c r="P1" s="838"/>
      <c r="Q1" s="838"/>
    </row>
    <row r="2" spans="1:18" ht="12" customHeight="1" thickBot="1" x14ac:dyDescent="0.3">
      <c r="A2" s="393"/>
      <c r="B2" s="393"/>
      <c r="C2" s="393"/>
      <c r="D2" s="393"/>
      <c r="E2" s="393"/>
      <c r="F2" s="393"/>
      <c r="G2" s="393"/>
      <c r="H2" s="393"/>
      <c r="I2" s="393"/>
      <c r="J2" s="393"/>
      <c r="K2" s="393"/>
      <c r="L2" s="393"/>
      <c r="M2" s="393"/>
      <c r="N2" s="393"/>
      <c r="O2" s="393"/>
      <c r="P2" s="393"/>
      <c r="Q2" s="393"/>
    </row>
    <row r="3" spans="1:18" s="434" customFormat="1" ht="17.25" customHeight="1" thickBot="1" x14ac:dyDescent="0.3">
      <c r="A3" s="432"/>
      <c r="B3" s="432"/>
      <c r="C3" s="432"/>
      <c r="D3" s="432"/>
      <c r="E3" s="432"/>
      <c r="F3" s="898" t="s">
        <v>233</v>
      </c>
      <c r="G3" s="902"/>
      <c r="H3" s="902"/>
      <c r="I3" s="899"/>
      <c r="J3" s="438"/>
      <c r="K3" s="898" t="s">
        <v>82</v>
      </c>
      <c r="L3" s="899"/>
      <c r="M3" s="432"/>
      <c r="N3" s="432"/>
      <c r="O3" s="432"/>
      <c r="P3" s="432"/>
      <c r="Q3" s="432"/>
    </row>
    <row r="4" spans="1:18" s="434" customFormat="1" ht="16.5" customHeight="1" thickBot="1" x14ac:dyDescent="0.3">
      <c r="A4" s="432"/>
      <c r="B4" s="432"/>
      <c r="C4" s="432"/>
      <c r="D4" s="432"/>
      <c r="E4" s="432"/>
      <c r="F4" s="469"/>
      <c r="G4" s="463" t="s">
        <v>251</v>
      </c>
      <c r="H4" s="472" t="s">
        <v>252</v>
      </c>
      <c r="I4" s="464" t="s">
        <v>41</v>
      </c>
      <c r="J4" s="438">
        <v>3068</v>
      </c>
      <c r="K4" s="900">
        <v>28575</v>
      </c>
      <c r="L4" s="901"/>
      <c r="M4" s="432"/>
      <c r="N4" s="432"/>
      <c r="O4" s="432"/>
      <c r="P4" s="432"/>
      <c r="Q4" s="432"/>
    </row>
    <row r="5" spans="1:18" s="434" customFormat="1" ht="15" customHeight="1" thickBot="1" x14ac:dyDescent="0.3">
      <c r="A5" s="432"/>
      <c r="B5" s="432"/>
      <c r="C5" s="432"/>
      <c r="D5" s="432"/>
      <c r="E5" s="432"/>
      <c r="F5" s="470" t="s">
        <v>93</v>
      </c>
      <c r="G5" s="433">
        <v>0</v>
      </c>
      <c r="H5" s="465">
        <v>4273</v>
      </c>
      <c r="I5" s="467">
        <f>G5+H5</f>
        <v>4273</v>
      </c>
      <c r="J5" s="438">
        <f>I5*H13</f>
        <v>29911</v>
      </c>
      <c r="K5" s="438"/>
      <c r="L5" s="438"/>
      <c r="M5" s="432"/>
      <c r="N5" s="432"/>
      <c r="O5" s="432"/>
      <c r="P5" s="432"/>
      <c r="Q5" s="432"/>
    </row>
    <row r="6" spans="1:18" s="434" customFormat="1" ht="15.75" thickBot="1" x14ac:dyDescent="0.3">
      <c r="A6" s="432"/>
      <c r="B6" s="432"/>
      <c r="C6" s="432"/>
      <c r="D6" s="432"/>
      <c r="E6" s="432"/>
      <c r="F6" s="470" t="s">
        <v>92</v>
      </c>
      <c r="G6" s="433">
        <v>0</v>
      </c>
      <c r="H6" s="465">
        <v>0</v>
      </c>
      <c r="I6" s="467">
        <f>G6+H6</f>
        <v>0</v>
      </c>
      <c r="J6" s="435"/>
      <c r="K6" s="785" t="s">
        <v>29</v>
      </c>
      <c r="L6" s="787"/>
      <c r="O6" s="801" t="s">
        <v>30</v>
      </c>
      <c r="P6" s="803"/>
    </row>
    <row r="7" spans="1:18" ht="15.75" customHeight="1" thickBot="1" x14ac:dyDescent="0.3">
      <c r="A7" s="434"/>
      <c r="B7" s="434"/>
      <c r="C7" s="434"/>
      <c r="D7" s="434"/>
      <c r="E7" s="434"/>
      <c r="F7" s="471" t="s">
        <v>31</v>
      </c>
      <c r="G7" s="462">
        <v>0</v>
      </c>
      <c r="H7" s="466"/>
      <c r="I7" s="468">
        <f>G7+H7</f>
        <v>0</v>
      </c>
      <c r="J7" s="422">
        <f>I7*L15</f>
        <v>0</v>
      </c>
      <c r="K7" s="13" t="s">
        <v>234</v>
      </c>
      <c r="L7" s="441">
        <v>30</v>
      </c>
      <c r="O7" s="9" t="s">
        <v>13</v>
      </c>
      <c r="P7" s="480">
        <v>115</v>
      </c>
    </row>
    <row r="8" spans="1:18" ht="15.75" customHeight="1" x14ac:dyDescent="0.25">
      <c r="A8" s="795" t="s">
        <v>1</v>
      </c>
      <c r="B8" s="778" t="s">
        <v>28</v>
      </c>
      <c r="C8" s="779"/>
      <c r="D8" s="779"/>
      <c r="E8" s="780"/>
      <c r="G8" s="716">
        <v>3068</v>
      </c>
      <c r="H8" s="717">
        <v>8430</v>
      </c>
      <c r="I8" s="434"/>
      <c r="J8" s="11">
        <f>SUM(J5:J7)</f>
        <v>29911</v>
      </c>
      <c r="K8" s="4" t="s">
        <v>19</v>
      </c>
      <c r="L8" s="442">
        <v>0.78</v>
      </c>
      <c r="N8" s="1"/>
      <c r="O8" s="3" t="s">
        <v>14</v>
      </c>
      <c r="P8" s="17">
        <v>18</v>
      </c>
    </row>
    <row r="9" spans="1:18" ht="15" customHeight="1" thickBot="1" x14ac:dyDescent="0.3">
      <c r="A9" s="806"/>
      <c r="B9" s="781"/>
      <c r="C9" s="782"/>
      <c r="D9" s="782"/>
      <c r="E9" s="783"/>
      <c r="F9" s="398"/>
      <c r="G9" s="422"/>
      <c r="H9" s="422"/>
      <c r="I9" s="422"/>
      <c r="K9" s="4" t="s">
        <v>11</v>
      </c>
      <c r="L9" s="36">
        <v>50</v>
      </c>
      <c r="O9" s="445" t="s">
        <v>15</v>
      </c>
      <c r="P9" s="139">
        <v>0</v>
      </c>
    </row>
    <row r="10" spans="1:18" ht="16.5" customHeight="1" thickBot="1" x14ac:dyDescent="0.3">
      <c r="A10" s="795" t="s">
        <v>26</v>
      </c>
      <c r="B10" s="5" t="s">
        <v>3</v>
      </c>
      <c r="C10" s="527" t="s">
        <v>279</v>
      </c>
      <c r="D10" s="527" t="s">
        <v>278</v>
      </c>
      <c r="E10" s="6" t="s">
        <v>173</v>
      </c>
      <c r="F10" s="398"/>
      <c r="G10" s="28"/>
      <c r="H10" s="528" t="s">
        <v>277</v>
      </c>
      <c r="I10" s="11"/>
      <c r="K10" s="439" t="s">
        <v>12</v>
      </c>
      <c r="L10" s="76">
        <f>I5/(L7*L8*L9)</f>
        <v>3.652136752136752</v>
      </c>
      <c r="O10" s="501" t="s">
        <v>20</v>
      </c>
      <c r="P10" s="107">
        <f>(P7*P8*P9)/K4</f>
        <v>0</v>
      </c>
      <c r="R10" s="10">
        <f>P10*K4</f>
        <v>0</v>
      </c>
    </row>
    <row r="11" spans="1:18" ht="15.75" thickBot="1" x14ac:dyDescent="0.3">
      <c r="A11" s="805"/>
      <c r="B11" s="2" t="s">
        <v>253</v>
      </c>
      <c r="C11" s="533">
        <f>G5</f>
        <v>0</v>
      </c>
      <c r="D11" s="474">
        <f>H11</f>
        <v>7.8</v>
      </c>
      <c r="E11" s="68">
        <f t="shared" ref="E11:E12" si="0">(D11*C11)/$K$4</f>
        <v>0</v>
      </c>
      <c r="F11" s="59"/>
      <c r="G11" s="41" t="s">
        <v>280</v>
      </c>
      <c r="H11" s="155">
        <v>7.8</v>
      </c>
      <c r="K11" s="13" t="s">
        <v>32</v>
      </c>
      <c r="L11" s="441">
        <v>40</v>
      </c>
    </row>
    <row r="12" spans="1:18" ht="15.75" thickBot="1" x14ac:dyDescent="0.3">
      <c r="A12" s="805"/>
      <c r="B12" s="2" t="s">
        <v>255</v>
      </c>
      <c r="C12" s="534">
        <f>H5</f>
        <v>4273</v>
      </c>
      <c r="D12" s="66">
        <f>H13</f>
        <v>7</v>
      </c>
      <c r="E12" s="68">
        <f t="shared" si="0"/>
        <v>1.0467541557305338</v>
      </c>
      <c r="F12" s="437"/>
      <c r="G12" s="25" t="s">
        <v>281</v>
      </c>
      <c r="H12" s="152">
        <v>5.8</v>
      </c>
      <c r="K12" s="4" t="s">
        <v>19</v>
      </c>
      <c r="L12" s="442">
        <v>0.78</v>
      </c>
      <c r="O12" s="785" t="s">
        <v>22</v>
      </c>
      <c r="P12" s="787"/>
    </row>
    <row r="13" spans="1:18" x14ac:dyDescent="0.25">
      <c r="A13" s="805"/>
      <c r="B13" s="2" t="s">
        <v>256</v>
      </c>
      <c r="C13" s="534">
        <f>G6</f>
        <v>0</v>
      </c>
      <c r="D13" s="66">
        <f>H12</f>
        <v>5.8</v>
      </c>
      <c r="E13" s="68">
        <f>(D13*C13)/$K$4</f>
        <v>0</v>
      </c>
      <c r="F13" s="437"/>
      <c r="G13" s="25" t="s">
        <v>282</v>
      </c>
      <c r="H13" s="152">
        <v>7</v>
      </c>
      <c r="K13" s="4" t="s">
        <v>11</v>
      </c>
      <c r="L13" s="36">
        <v>50</v>
      </c>
      <c r="O13" s="444" t="s">
        <v>20</v>
      </c>
      <c r="P13" s="176">
        <f>E18</f>
        <v>0</v>
      </c>
    </row>
    <row r="14" spans="1:18" ht="15.75" thickBot="1" x14ac:dyDescent="0.3">
      <c r="A14" s="805"/>
      <c r="B14" s="2" t="s">
        <v>254</v>
      </c>
      <c r="C14" s="534">
        <f>H6</f>
        <v>0</v>
      </c>
      <c r="D14" s="66">
        <f>H14</f>
        <v>5</v>
      </c>
      <c r="E14" s="68">
        <f t="shared" ref="E14:E15" si="1">(D14*C14)/$K$4</f>
        <v>0</v>
      </c>
      <c r="F14" s="62"/>
      <c r="G14" s="26" t="s">
        <v>283</v>
      </c>
      <c r="H14" s="529">
        <v>5</v>
      </c>
      <c r="K14" s="439" t="s">
        <v>12</v>
      </c>
      <c r="L14" s="76">
        <f>I6/(L11*L12*L13)</f>
        <v>0</v>
      </c>
      <c r="O14" s="445" t="s">
        <v>13</v>
      </c>
      <c r="P14" s="143">
        <v>0</v>
      </c>
    </row>
    <row r="15" spans="1:18" ht="15.75" thickBot="1" x14ac:dyDescent="0.3">
      <c r="A15" s="805"/>
      <c r="B15" s="2" t="s">
        <v>31</v>
      </c>
      <c r="C15" s="534">
        <f>G7+H7</f>
        <v>0</v>
      </c>
      <c r="D15" s="66">
        <f>L15</f>
        <v>2</v>
      </c>
      <c r="E15" s="68">
        <f t="shared" si="1"/>
        <v>0</v>
      </c>
      <c r="F15" s="62"/>
      <c r="K15" s="13" t="s">
        <v>236</v>
      </c>
      <c r="L15" s="441">
        <v>2</v>
      </c>
      <c r="O15" s="501" t="s">
        <v>23</v>
      </c>
      <c r="P15" s="107" t="e">
        <f>(P13*K4)/P14</f>
        <v>#DIV/0!</v>
      </c>
    </row>
    <row r="16" spans="1:18" ht="15.75" thickBot="1" x14ac:dyDescent="0.3">
      <c r="A16" s="805"/>
      <c r="B16" s="475" t="s">
        <v>262</v>
      </c>
      <c r="C16" s="896"/>
      <c r="D16" s="897"/>
      <c r="E16" s="111">
        <f>(I58+J58)/K4</f>
        <v>0.71286587926509193</v>
      </c>
      <c r="F16" s="62"/>
      <c r="K16" s="4" t="s">
        <v>235</v>
      </c>
      <c r="L16" s="36">
        <v>130</v>
      </c>
    </row>
    <row r="17" spans="1:18" ht="15.75" thickBot="1" x14ac:dyDescent="0.3">
      <c r="A17" s="805"/>
      <c r="B17" s="475" t="s">
        <v>5</v>
      </c>
      <c r="C17" s="892"/>
      <c r="D17" s="893"/>
      <c r="E17" s="111">
        <f>P10</f>
        <v>0</v>
      </c>
      <c r="F17" s="62"/>
      <c r="K17" s="4" t="s">
        <v>237</v>
      </c>
      <c r="L17" s="36">
        <v>50</v>
      </c>
      <c r="O17" s="801" t="s">
        <v>7</v>
      </c>
      <c r="P17" s="803"/>
    </row>
    <row r="18" spans="1:18" x14ac:dyDescent="0.25">
      <c r="A18" s="805"/>
      <c r="B18" s="475" t="s">
        <v>22</v>
      </c>
      <c r="C18" s="892"/>
      <c r="D18" s="893"/>
      <c r="E18" s="146">
        <v>0</v>
      </c>
      <c r="F18" s="62" t="s">
        <v>346</v>
      </c>
      <c r="K18" s="4" t="s">
        <v>19</v>
      </c>
      <c r="L18" s="442">
        <v>0.78</v>
      </c>
      <c r="O18" s="444" t="s">
        <v>20</v>
      </c>
      <c r="P18" s="176">
        <f>E20</f>
        <v>0</v>
      </c>
    </row>
    <row r="19" spans="1:18" x14ac:dyDescent="0.25">
      <c r="A19" s="805"/>
      <c r="B19" s="475" t="s">
        <v>227</v>
      </c>
      <c r="C19" s="892"/>
      <c r="D19" s="893"/>
      <c r="E19" s="111">
        <f>P25</f>
        <v>1.0528019830854477E-2</v>
      </c>
      <c r="F19" s="62"/>
      <c r="K19" s="439" t="s">
        <v>12</v>
      </c>
      <c r="L19" s="76">
        <f>I7*L15/(L16*L17*L18)</f>
        <v>0</v>
      </c>
      <c r="O19" s="3" t="s">
        <v>13</v>
      </c>
      <c r="P19" s="418">
        <v>0</v>
      </c>
    </row>
    <row r="20" spans="1:18" ht="15.75" thickBot="1" x14ac:dyDescent="0.3">
      <c r="A20" s="805"/>
      <c r="B20" s="475" t="s">
        <v>7</v>
      </c>
      <c r="C20" s="892"/>
      <c r="D20" s="893"/>
      <c r="E20" s="146">
        <v>0</v>
      </c>
      <c r="F20" s="62"/>
      <c r="I20" s="8"/>
      <c r="K20" s="439" t="s">
        <v>245</v>
      </c>
      <c r="L20" s="76">
        <f>SUM(J32:J57)/L16</f>
        <v>68.091634615384621</v>
      </c>
      <c r="O20" s="443" t="s">
        <v>23</v>
      </c>
      <c r="P20" s="481" t="e">
        <f>(P18*K4)/P19</f>
        <v>#DIV/0!</v>
      </c>
    </row>
    <row r="21" spans="1:18" ht="15.75" thickBot="1" x14ac:dyDescent="0.3">
      <c r="A21" s="805"/>
      <c r="B21" s="475" t="s">
        <v>45</v>
      </c>
      <c r="C21" s="894"/>
      <c r="D21" s="895"/>
      <c r="E21" s="111">
        <f>P31</f>
        <v>0</v>
      </c>
      <c r="F21" s="62"/>
      <c r="I21" s="110"/>
      <c r="K21" s="4" t="s">
        <v>11</v>
      </c>
      <c r="L21" s="36">
        <v>50</v>
      </c>
    </row>
    <row r="22" spans="1:18" ht="15.75" thickBot="1" x14ac:dyDescent="0.3">
      <c r="A22" s="805"/>
      <c r="B22" s="484" t="s">
        <v>263</v>
      </c>
      <c r="C22" s="485"/>
      <c r="D22" s="486"/>
      <c r="E22" s="526">
        <f>IF(K4=0,0,SUM(E11:E21))</f>
        <v>1.7701480548264801</v>
      </c>
      <c r="F22" s="62"/>
      <c r="I22" s="473"/>
      <c r="K22" s="439" t="s">
        <v>12</v>
      </c>
      <c r="L22" s="76">
        <f>L20/L21</f>
        <v>1.3618326923076924</v>
      </c>
      <c r="O22" s="785" t="s">
        <v>223</v>
      </c>
      <c r="P22" s="787"/>
    </row>
    <row r="23" spans="1:18" ht="15.75" thickBot="1" x14ac:dyDescent="0.3">
      <c r="A23" s="805"/>
      <c r="B23" s="487" t="s">
        <v>154</v>
      </c>
      <c r="C23" s="892"/>
      <c r="D23" s="893"/>
      <c r="E23" s="72">
        <f>E22*F23</f>
        <v>0.12391036383785362</v>
      </c>
      <c r="F23" s="488">
        <f>Total!C3</f>
        <v>7.0000000000000007E-2</v>
      </c>
      <c r="I23" s="473"/>
      <c r="K23" s="440" t="s">
        <v>33</v>
      </c>
      <c r="L23" s="455">
        <f>L22+L14+L10+L19</f>
        <v>5.0139694444444443</v>
      </c>
      <c r="O23" s="180" t="s">
        <v>226</v>
      </c>
      <c r="P23" s="424">
        <v>1000</v>
      </c>
    </row>
    <row r="24" spans="1:18" ht="15.75" thickBot="1" x14ac:dyDescent="0.3">
      <c r="A24" s="806"/>
      <c r="B24" s="483" t="s">
        <v>21</v>
      </c>
      <c r="C24" s="894"/>
      <c r="D24" s="895"/>
      <c r="E24" s="97">
        <f>E23+E22</f>
        <v>1.8940584186643337</v>
      </c>
      <c r="F24" s="62"/>
      <c r="I24" s="473"/>
      <c r="K24" s="4" t="s">
        <v>18</v>
      </c>
      <c r="L24" s="627">
        <v>4</v>
      </c>
      <c r="O24" s="295" t="s">
        <v>225</v>
      </c>
      <c r="P24" s="425">
        <v>0.06</v>
      </c>
    </row>
    <row r="25" spans="1:18" ht="15.75" thickBot="1" x14ac:dyDescent="0.3">
      <c r="F25" s="436"/>
      <c r="I25" s="473"/>
      <c r="K25" s="4" t="s">
        <v>9</v>
      </c>
      <c r="L25" s="627">
        <v>1</v>
      </c>
      <c r="O25" s="181" t="s">
        <v>20</v>
      </c>
      <c r="P25" s="252">
        <f>(P23*P24*L23)/K4</f>
        <v>1.0528019830854477E-2</v>
      </c>
    </row>
    <row r="26" spans="1:18" ht="15.75" thickBot="1" x14ac:dyDescent="0.3">
      <c r="C26" s="28" t="s">
        <v>241</v>
      </c>
      <c r="D26" s="452">
        <v>0.75</v>
      </c>
      <c r="E26" s="10" t="s">
        <v>391</v>
      </c>
      <c r="I26" s="473"/>
      <c r="K26" s="440" t="s">
        <v>16</v>
      </c>
      <c r="L26" s="455">
        <f>L23*L24</f>
        <v>20.055877777777777</v>
      </c>
    </row>
    <row r="27" spans="1:18" ht="15.75" thickBot="1" x14ac:dyDescent="0.3">
      <c r="C27" s="28" t="s">
        <v>241</v>
      </c>
      <c r="D27" s="452">
        <v>1</v>
      </c>
      <c r="E27" s="10" t="s">
        <v>392</v>
      </c>
      <c r="I27" s="473"/>
      <c r="O27" s="785" t="s">
        <v>45</v>
      </c>
      <c r="P27" s="787"/>
      <c r="Q27" s="422"/>
    </row>
    <row r="28" spans="1:18" ht="15.75" thickBot="1" x14ac:dyDescent="0.3">
      <c r="A28" s="800" t="s">
        <v>243</v>
      </c>
      <c r="B28" s="785" t="s">
        <v>240</v>
      </c>
      <c r="C28" s="786"/>
      <c r="D28" s="786"/>
      <c r="E28" s="786"/>
      <c r="F28" s="786"/>
      <c r="G28" s="786"/>
      <c r="H28" s="786"/>
      <c r="I28" s="786"/>
      <c r="J28" s="787"/>
      <c r="O28" s="126" t="s">
        <v>259</v>
      </c>
      <c r="P28" s="424">
        <v>0</v>
      </c>
      <c r="R28" s="10">
        <f>(P28*P29)+P30</f>
        <v>0</v>
      </c>
    </row>
    <row r="29" spans="1:18" ht="15.75" thickBot="1" x14ac:dyDescent="0.3">
      <c r="A29" s="797"/>
      <c r="B29" s="489" t="s">
        <v>238</v>
      </c>
      <c r="C29" s="490" t="s">
        <v>239</v>
      </c>
      <c r="D29" s="490" t="s">
        <v>248</v>
      </c>
      <c r="E29" s="491" t="s">
        <v>246</v>
      </c>
      <c r="F29" s="491" t="s">
        <v>247</v>
      </c>
      <c r="G29" s="492" t="s">
        <v>257</v>
      </c>
      <c r="H29" s="492" t="s">
        <v>258</v>
      </c>
      <c r="I29" s="491" t="s">
        <v>249</v>
      </c>
      <c r="J29" s="493" t="s">
        <v>250</v>
      </c>
      <c r="L29" s="10">
        <f>L26*85</f>
        <v>1704.7496111111111</v>
      </c>
      <c r="O29" s="25" t="s">
        <v>260</v>
      </c>
      <c r="P29" s="302">
        <v>330</v>
      </c>
    </row>
    <row r="30" spans="1:18" ht="15.75" thickBot="1" x14ac:dyDescent="0.3">
      <c r="A30" s="800" t="s">
        <v>242</v>
      </c>
      <c r="B30" s="391">
        <v>300</v>
      </c>
      <c r="C30" s="447">
        <v>19.64</v>
      </c>
      <c r="D30" s="497"/>
      <c r="E30" s="57">
        <v>12</v>
      </c>
      <c r="F30" s="57">
        <v>9</v>
      </c>
      <c r="G30" s="57">
        <v>9.83</v>
      </c>
      <c r="H30" s="57">
        <v>0</v>
      </c>
      <c r="I30" s="498">
        <f>(E30*F30*C30)+(H30*G30)</f>
        <v>2121.12</v>
      </c>
      <c r="J30" s="499"/>
      <c r="K30" s="473"/>
      <c r="O30" s="45" t="s">
        <v>261</v>
      </c>
      <c r="P30" s="482">
        <v>0</v>
      </c>
    </row>
    <row r="31" spans="1:18" ht="15.75" thickBot="1" x14ac:dyDescent="0.3">
      <c r="A31" s="796"/>
      <c r="B31" s="446">
        <v>375</v>
      </c>
      <c r="C31" s="52">
        <v>31.7</v>
      </c>
      <c r="D31" s="453"/>
      <c r="E31" s="413"/>
      <c r="F31" s="413">
        <v>0</v>
      </c>
      <c r="G31" s="413">
        <v>15.49</v>
      </c>
      <c r="H31" s="413">
        <v>0</v>
      </c>
      <c r="I31" s="458">
        <f t="shared" ref="I31:I57" si="2">(E31*F31*C31)+(H31*G31)</f>
        <v>0</v>
      </c>
      <c r="J31" s="457"/>
      <c r="K31" s="473"/>
      <c r="O31" s="140" t="s">
        <v>20</v>
      </c>
      <c r="P31" s="154">
        <f>((P28*P29)+P30)/K4</f>
        <v>0</v>
      </c>
    </row>
    <row r="32" spans="1:18" x14ac:dyDescent="0.25">
      <c r="A32" s="796"/>
      <c r="B32" s="446">
        <v>450</v>
      </c>
      <c r="C32" s="52">
        <v>41.16</v>
      </c>
      <c r="D32" s="52">
        <f>C32*$D$26</f>
        <v>30.869999999999997</v>
      </c>
      <c r="E32" s="413">
        <v>4</v>
      </c>
      <c r="F32" s="413">
        <v>9</v>
      </c>
      <c r="G32" s="413">
        <v>26.51</v>
      </c>
      <c r="H32" s="413">
        <v>0</v>
      </c>
      <c r="I32" s="458">
        <f t="shared" si="2"/>
        <v>1481.7599999999998</v>
      </c>
      <c r="J32" s="460">
        <f t="shared" ref="J32:J57" si="3">D32*E32*F32</f>
        <v>1111.32</v>
      </c>
      <c r="K32" s="473"/>
    </row>
    <row r="33" spans="1:11" x14ac:dyDescent="0.25">
      <c r="A33" s="796"/>
      <c r="B33" s="446">
        <v>600</v>
      </c>
      <c r="C33" s="52">
        <v>67.5</v>
      </c>
      <c r="D33" s="52">
        <f t="shared" ref="D33:D49" si="4">C33*$D$26</f>
        <v>50.625</v>
      </c>
      <c r="E33" s="413">
        <v>0</v>
      </c>
      <c r="F33" s="413">
        <v>0</v>
      </c>
      <c r="G33" s="413">
        <v>48.21</v>
      </c>
      <c r="H33" s="413">
        <v>0</v>
      </c>
      <c r="I33" s="458">
        <f t="shared" si="2"/>
        <v>0</v>
      </c>
      <c r="J33" s="460">
        <f t="shared" si="3"/>
        <v>0</v>
      </c>
      <c r="K33" s="473"/>
    </row>
    <row r="34" spans="1:11" x14ac:dyDescent="0.25">
      <c r="A34" s="796"/>
      <c r="B34" s="446">
        <v>750</v>
      </c>
      <c r="C34" s="52">
        <v>115.54</v>
      </c>
      <c r="D34" s="52">
        <f t="shared" si="4"/>
        <v>86.655000000000001</v>
      </c>
      <c r="E34" s="413">
        <v>0</v>
      </c>
      <c r="F34" s="413">
        <v>0</v>
      </c>
      <c r="G34" s="413">
        <v>96.43</v>
      </c>
      <c r="H34" s="413">
        <v>0</v>
      </c>
      <c r="I34" s="458">
        <f t="shared" si="2"/>
        <v>0</v>
      </c>
      <c r="J34" s="460">
        <f t="shared" si="3"/>
        <v>0</v>
      </c>
      <c r="K34" s="473"/>
    </row>
    <row r="35" spans="1:11" ht="15.75" thickBot="1" x14ac:dyDescent="0.3">
      <c r="A35" s="797"/>
      <c r="B35" s="500">
        <v>900</v>
      </c>
      <c r="C35" s="450">
        <v>168.49</v>
      </c>
      <c r="D35" s="52">
        <f t="shared" si="4"/>
        <v>126.36750000000001</v>
      </c>
      <c r="E35" s="456">
        <v>0</v>
      </c>
      <c r="F35" s="456">
        <v>0</v>
      </c>
      <c r="G35" s="456">
        <v>106.07</v>
      </c>
      <c r="H35" s="456">
        <v>0</v>
      </c>
      <c r="I35" s="459">
        <f t="shared" si="2"/>
        <v>0</v>
      </c>
      <c r="J35" s="461">
        <f t="shared" si="3"/>
        <v>0</v>
      </c>
      <c r="K35" s="473"/>
    </row>
    <row r="36" spans="1:11" x14ac:dyDescent="0.25">
      <c r="A36" s="800" t="s">
        <v>244</v>
      </c>
      <c r="B36" s="32">
        <v>300</v>
      </c>
      <c r="C36" s="454">
        <v>40.130000000000003</v>
      </c>
      <c r="D36" s="52">
        <f t="shared" si="4"/>
        <v>30.097500000000004</v>
      </c>
      <c r="E36" s="494">
        <v>0</v>
      </c>
      <c r="F36" s="494">
        <v>0</v>
      </c>
      <c r="G36" s="494">
        <v>20.010000000000002</v>
      </c>
      <c r="H36" s="494">
        <v>0</v>
      </c>
      <c r="I36" s="495">
        <f t="shared" si="2"/>
        <v>0</v>
      </c>
      <c r="J36" s="496">
        <f t="shared" si="3"/>
        <v>0</v>
      </c>
      <c r="K36" s="473"/>
    </row>
    <row r="37" spans="1:11" x14ac:dyDescent="0.25">
      <c r="A37" s="796"/>
      <c r="B37" s="446">
        <v>400</v>
      </c>
      <c r="C37" s="52">
        <v>53.6</v>
      </c>
      <c r="D37" s="52">
        <f t="shared" si="4"/>
        <v>40.200000000000003</v>
      </c>
      <c r="E37" s="413">
        <v>0</v>
      </c>
      <c r="F37" s="413">
        <v>0</v>
      </c>
      <c r="G37" s="413">
        <v>22.9</v>
      </c>
      <c r="H37" s="413">
        <v>0</v>
      </c>
      <c r="I37" s="458">
        <f t="shared" si="2"/>
        <v>0</v>
      </c>
      <c r="J37" s="460">
        <f t="shared" si="3"/>
        <v>0</v>
      </c>
      <c r="K37" s="473"/>
    </row>
    <row r="38" spans="1:11" x14ac:dyDescent="0.25">
      <c r="A38" s="796"/>
      <c r="B38" s="446">
        <v>450</v>
      </c>
      <c r="C38" s="52">
        <v>60.1</v>
      </c>
      <c r="D38" s="52">
        <f t="shared" si="4"/>
        <v>45.075000000000003</v>
      </c>
      <c r="E38" s="413">
        <v>0</v>
      </c>
      <c r="F38" s="413">
        <v>0</v>
      </c>
      <c r="G38" s="413">
        <v>25.68</v>
      </c>
      <c r="H38" s="413">
        <v>0</v>
      </c>
      <c r="I38" s="458">
        <f t="shared" si="2"/>
        <v>0</v>
      </c>
      <c r="J38" s="460">
        <f t="shared" si="3"/>
        <v>0</v>
      </c>
      <c r="K38" s="473"/>
    </row>
    <row r="39" spans="1:11" x14ac:dyDescent="0.25">
      <c r="A39" s="796"/>
      <c r="B39" s="446">
        <v>500</v>
      </c>
      <c r="C39" s="52">
        <v>66.599999999999994</v>
      </c>
      <c r="D39" s="52">
        <f t="shared" si="4"/>
        <v>49.949999999999996</v>
      </c>
      <c r="E39" s="413">
        <v>0</v>
      </c>
      <c r="F39" s="413">
        <v>0</v>
      </c>
      <c r="G39" s="413">
        <v>27.52</v>
      </c>
      <c r="H39" s="413">
        <v>0</v>
      </c>
      <c r="I39" s="458">
        <f t="shared" si="2"/>
        <v>0</v>
      </c>
      <c r="J39" s="460">
        <f t="shared" si="3"/>
        <v>0</v>
      </c>
      <c r="K39" s="473"/>
    </row>
    <row r="40" spans="1:11" x14ac:dyDescent="0.25">
      <c r="A40" s="796"/>
      <c r="B40" s="446">
        <v>600</v>
      </c>
      <c r="C40" s="52">
        <v>77.67</v>
      </c>
      <c r="D40" s="52">
        <f t="shared" si="4"/>
        <v>58.252499999999998</v>
      </c>
      <c r="E40" s="413">
        <v>1</v>
      </c>
      <c r="F40" s="413">
        <v>9</v>
      </c>
      <c r="G40" s="413">
        <v>31.3</v>
      </c>
      <c r="H40" s="413">
        <v>0</v>
      </c>
      <c r="I40" s="458">
        <f t="shared" si="2"/>
        <v>699.03</v>
      </c>
      <c r="J40" s="460">
        <f t="shared" si="3"/>
        <v>524.27250000000004</v>
      </c>
      <c r="K40" s="473"/>
    </row>
    <row r="41" spans="1:11" x14ac:dyDescent="0.25">
      <c r="A41" s="796"/>
      <c r="B41" s="446">
        <v>700</v>
      </c>
      <c r="C41" s="52">
        <v>90.67</v>
      </c>
      <c r="D41" s="52">
        <f t="shared" si="4"/>
        <v>68.002499999999998</v>
      </c>
      <c r="E41" s="413">
        <v>0</v>
      </c>
      <c r="F41" s="413">
        <v>0</v>
      </c>
      <c r="G41" s="413">
        <v>55.05</v>
      </c>
      <c r="H41" s="413">
        <v>0</v>
      </c>
      <c r="I41" s="458">
        <f t="shared" si="2"/>
        <v>0</v>
      </c>
      <c r="J41" s="460">
        <f t="shared" si="3"/>
        <v>0</v>
      </c>
      <c r="K41" s="473"/>
    </row>
    <row r="42" spans="1:11" x14ac:dyDescent="0.25">
      <c r="A42" s="796"/>
      <c r="B42" s="446">
        <v>750</v>
      </c>
      <c r="C42" s="52">
        <v>96.21</v>
      </c>
      <c r="D42" s="52">
        <f t="shared" si="4"/>
        <v>72.157499999999999</v>
      </c>
      <c r="E42" s="413">
        <v>0</v>
      </c>
      <c r="F42" s="413">
        <v>0</v>
      </c>
      <c r="G42" s="413">
        <v>58</v>
      </c>
      <c r="H42" s="413">
        <v>0</v>
      </c>
      <c r="I42" s="458">
        <f t="shared" si="2"/>
        <v>0</v>
      </c>
      <c r="J42" s="460">
        <f t="shared" si="3"/>
        <v>0</v>
      </c>
      <c r="K42" s="473"/>
    </row>
    <row r="43" spans="1:11" x14ac:dyDescent="0.25">
      <c r="A43" s="796"/>
      <c r="B43" s="446">
        <v>800</v>
      </c>
      <c r="C43" s="52">
        <v>104.68</v>
      </c>
      <c r="D43" s="52">
        <f t="shared" si="4"/>
        <v>78.510000000000005</v>
      </c>
      <c r="E43" s="413">
        <v>0</v>
      </c>
      <c r="F43" s="413">
        <v>0</v>
      </c>
      <c r="G43" s="413">
        <v>60.84</v>
      </c>
      <c r="H43" s="413">
        <v>0</v>
      </c>
      <c r="I43" s="458">
        <f t="shared" si="2"/>
        <v>0</v>
      </c>
      <c r="J43" s="460">
        <f t="shared" si="3"/>
        <v>0</v>
      </c>
      <c r="K43" s="473"/>
    </row>
    <row r="44" spans="1:11" x14ac:dyDescent="0.25">
      <c r="A44" s="796"/>
      <c r="B44" s="449">
        <v>900</v>
      </c>
      <c r="C44" s="52">
        <v>119.94</v>
      </c>
      <c r="D44" s="52">
        <f t="shared" si="4"/>
        <v>89.954999999999998</v>
      </c>
      <c r="E44" s="413">
        <v>0</v>
      </c>
      <c r="F44" s="413">
        <v>0</v>
      </c>
      <c r="G44" s="413">
        <v>66.819999999999993</v>
      </c>
      <c r="H44" s="413">
        <v>0</v>
      </c>
      <c r="I44" s="458">
        <f t="shared" si="2"/>
        <v>0</v>
      </c>
      <c r="J44" s="460">
        <f t="shared" si="3"/>
        <v>0</v>
      </c>
      <c r="K44" s="473"/>
    </row>
    <row r="45" spans="1:11" x14ac:dyDescent="0.25">
      <c r="A45" s="796"/>
      <c r="B45" s="449">
        <v>1000</v>
      </c>
      <c r="C45" s="52">
        <v>174.57</v>
      </c>
      <c r="D45" s="52">
        <f t="shared" si="4"/>
        <v>130.92750000000001</v>
      </c>
      <c r="E45" s="413">
        <v>0</v>
      </c>
      <c r="F45" s="413">
        <v>9</v>
      </c>
      <c r="G45" s="413">
        <v>72.87</v>
      </c>
      <c r="H45" s="413">
        <v>0</v>
      </c>
      <c r="I45" s="458">
        <f t="shared" si="2"/>
        <v>0</v>
      </c>
      <c r="J45" s="460">
        <f t="shared" si="3"/>
        <v>0</v>
      </c>
      <c r="K45" s="473"/>
    </row>
    <row r="46" spans="1:11" x14ac:dyDescent="0.25">
      <c r="A46" s="796"/>
      <c r="B46" s="449">
        <v>1200</v>
      </c>
      <c r="C46" s="52">
        <v>211.94</v>
      </c>
      <c r="D46" s="52">
        <f t="shared" si="4"/>
        <v>158.95499999999998</v>
      </c>
      <c r="E46" s="413">
        <v>0</v>
      </c>
      <c r="F46" s="413">
        <v>0</v>
      </c>
      <c r="G46" s="413">
        <v>84.76</v>
      </c>
      <c r="H46" s="413">
        <v>0</v>
      </c>
      <c r="I46" s="458">
        <f t="shared" si="2"/>
        <v>0</v>
      </c>
      <c r="J46" s="460">
        <f t="shared" si="3"/>
        <v>0</v>
      </c>
      <c r="K46" s="473"/>
    </row>
    <row r="47" spans="1:11" x14ac:dyDescent="0.25">
      <c r="A47" s="796"/>
      <c r="B47" s="449">
        <v>1400</v>
      </c>
      <c r="C47" s="52">
        <v>249.71</v>
      </c>
      <c r="D47" s="52">
        <f t="shared" si="4"/>
        <v>187.2825</v>
      </c>
      <c r="E47" s="413">
        <v>0</v>
      </c>
      <c r="F47" s="413">
        <v>0</v>
      </c>
      <c r="G47" s="413">
        <v>109.97</v>
      </c>
      <c r="H47" s="413">
        <v>0</v>
      </c>
      <c r="I47" s="458">
        <f t="shared" si="2"/>
        <v>0</v>
      </c>
      <c r="J47" s="460">
        <f t="shared" si="3"/>
        <v>0</v>
      </c>
      <c r="K47" s="473"/>
    </row>
    <row r="48" spans="1:11" x14ac:dyDescent="0.25">
      <c r="A48" s="796"/>
      <c r="B48" s="449">
        <v>1500</v>
      </c>
      <c r="C48" s="52">
        <v>266.41000000000003</v>
      </c>
      <c r="D48" s="52">
        <f t="shared" si="4"/>
        <v>199.8075</v>
      </c>
      <c r="E48" s="413">
        <v>0</v>
      </c>
      <c r="F48" s="413">
        <v>0</v>
      </c>
      <c r="G48" s="413">
        <v>117.9</v>
      </c>
      <c r="H48" s="413">
        <v>0</v>
      </c>
      <c r="I48" s="458">
        <f t="shared" si="2"/>
        <v>0</v>
      </c>
      <c r="J48" s="460">
        <f t="shared" si="3"/>
        <v>0</v>
      </c>
      <c r="K48" s="473"/>
    </row>
    <row r="49" spans="1:18" x14ac:dyDescent="0.25">
      <c r="A49" s="796"/>
      <c r="B49" s="449">
        <v>1600</v>
      </c>
      <c r="C49" s="52">
        <v>284.89</v>
      </c>
      <c r="D49" s="52">
        <f t="shared" si="4"/>
        <v>213.66749999999999</v>
      </c>
      <c r="E49" s="413">
        <v>0</v>
      </c>
      <c r="F49" s="413">
        <v>0</v>
      </c>
      <c r="G49" s="413">
        <v>121.79</v>
      </c>
      <c r="H49" s="413">
        <v>0</v>
      </c>
      <c r="I49" s="458">
        <f t="shared" si="2"/>
        <v>0</v>
      </c>
      <c r="J49" s="460">
        <f t="shared" si="3"/>
        <v>0</v>
      </c>
      <c r="K49" s="473"/>
    </row>
    <row r="50" spans="1:18" x14ac:dyDescent="0.25">
      <c r="A50" s="796"/>
      <c r="B50" s="449">
        <v>1800</v>
      </c>
      <c r="C50" s="52">
        <v>452.02</v>
      </c>
      <c r="D50" s="52">
        <f>C50*$D$27</f>
        <v>452.02</v>
      </c>
      <c r="E50" s="413">
        <v>0</v>
      </c>
      <c r="F50" s="413">
        <v>0</v>
      </c>
      <c r="G50" s="413">
        <v>227.68</v>
      </c>
      <c r="H50" s="413">
        <v>0</v>
      </c>
      <c r="I50" s="458">
        <f t="shared" si="2"/>
        <v>0</v>
      </c>
      <c r="J50" s="460">
        <f t="shared" si="3"/>
        <v>0</v>
      </c>
      <c r="K50" s="358"/>
    </row>
    <row r="51" spans="1:18" x14ac:dyDescent="0.25">
      <c r="A51" s="796"/>
      <c r="B51" s="449">
        <v>2000</v>
      </c>
      <c r="C51" s="52">
        <v>502.91</v>
      </c>
      <c r="D51" s="52">
        <f t="shared" ref="D51:D57" si="5">C51*$D$27</f>
        <v>502.91</v>
      </c>
      <c r="E51" s="413">
        <v>0</v>
      </c>
      <c r="F51" s="413">
        <v>0</v>
      </c>
      <c r="G51" s="413">
        <v>248.24</v>
      </c>
      <c r="H51" s="413">
        <v>0</v>
      </c>
      <c r="I51" s="458">
        <f t="shared" si="2"/>
        <v>0</v>
      </c>
      <c r="J51" s="460">
        <f t="shared" si="3"/>
        <v>0</v>
      </c>
    </row>
    <row r="52" spans="1:18" x14ac:dyDescent="0.25">
      <c r="A52" s="796"/>
      <c r="B52" s="449">
        <v>2200</v>
      </c>
      <c r="C52" s="52">
        <v>551.95000000000005</v>
      </c>
      <c r="D52" s="52">
        <f t="shared" si="5"/>
        <v>551.95000000000005</v>
      </c>
      <c r="E52" s="413">
        <v>0</v>
      </c>
      <c r="F52" s="413">
        <v>0</v>
      </c>
      <c r="G52" s="413">
        <v>268.45999999999998</v>
      </c>
      <c r="H52" s="413">
        <v>0</v>
      </c>
      <c r="I52" s="458">
        <f t="shared" si="2"/>
        <v>0</v>
      </c>
      <c r="J52" s="460">
        <f t="shared" si="3"/>
        <v>0</v>
      </c>
    </row>
    <row r="53" spans="1:18" x14ac:dyDescent="0.25">
      <c r="A53" s="796"/>
      <c r="B53" s="449">
        <v>2400</v>
      </c>
      <c r="C53" s="52">
        <v>601.36</v>
      </c>
      <c r="D53" s="52">
        <f t="shared" si="5"/>
        <v>601.36</v>
      </c>
      <c r="E53" s="413">
        <v>1</v>
      </c>
      <c r="F53" s="413">
        <v>12</v>
      </c>
      <c r="G53" s="413">
        <v>288.97000000000003</v>
      </c>
      <c r="H53" s="413">
        <v>0</v>
      </c>
      <c r="I53" s="458">
        <f t="shared" si="2"/>
        <v>7216.32</v>
      </c>
      <c r="J53" s="460">
        <f t="shared" si="3"/>
        <v>7216.32</v>
      </c>
    </row>
    <row r="54" spans="1:18" x14ac:dyDescent="0.25">
      <c r="A54" s="796"/>
      <c r="B54" s="449">
        <v>2700</v>
      </c>
      <c r="C54" s="52">
        <v>860.98</v>
      </c>
      <c r="D54" s="52">
        <f t="shared" si="5"/>
        <v>860.98</v>
      </c>
      <c r="E54" s="413">
        <v>0</v>
      </c>
      <c r="F54" s="413">
        <v>0</v>
      </c>
      <c r="G54" s="413">
        <v>341.56</v>
      </c>
      <c r="H54" s="413">
        <v>0</v>
      </c>
      <c r="I54" s="458">
        <f t="shared" si="2"/>
        <v>0</v>
      </c>
      <c r="J54" s="460">
        <f t="shared" si="3"/>
        <v>0</v>
      </c>
    </row>
    <row r="55" spans="1:18" x14ac:dyDescent="0.25">
      <c r="A55" s="796"/>
      <c r="B55" s="449">
        <v>3000</v>
      </c>
      <c r="C55" s="52">
        <v>875.53</v>
      </c>
      <c r="D55" s="52">
        <f t="shared" si="5"/>
        <v>875.53</v>
      </c>
      <c r="E55" s="413">
        <v>0</v>
      </c>
      <c r="F55" s="413">
        <v>0</v>
      </c>
      <c r="G55" s="413">
        <v>372.35</v>
      </c>
      <c r="H55" s="413">
        <v>0</v>
      </c>
      <c r="I55" s="458">
        <f t="shared" si="2"/>
        <v>0</v>
      </c>
      <c r="J55" s="460">
        <f t="shared" si="3"/>
        <v>0</v>
      </c>
    </row>
    <row r="56" spans="1:18" x14ac:dyDescent="0.25">
      <c r="A56" s="796"/>
      <c r="B56" s="449">
        <v>3300</v>
      </c>
      <c r="C56" s="52">
        <v>1045.76</v>
      </c>
      <c r="D56" s="52">
        <f t="shared" si="5"/>
        <v>1045.76</v>
      </c>
      <c r="E56" s="413">
        <v>0</v>
      </c>
      <c r="F56" s="413">
        <v>0</v>
      </c>
      <c r="G56" s="413">
        <v>402.68</v>
      </c>
      <c r="H56" s="413">
        <v>0</v>
      </c>
      <c r="I56" s="458">
        <f t="shared" si="2"/>
        <v>0</v>
      </c>
      <c r="J56" s="460">
        <f t="shared" si="3"/>
        <v>0</v>
      </c>
    </row>
    <row r="57" spans="1:18" ht="15.75" thickBot="1" x14ac:dyDescent="0.3">
      <c r="A57" s="796"/>
      <c r="B57" s="476">
        <v>3600</v>
      </c>
      <c r="C57" s="61">
        <v>1143.76</v>
      </c>
      <c r="D57" s="52">
        <f t="shared" si="5"/>
        <v>1143.76</v>
      </c>
      <c r="E57" s="477">
        <v>0</v>
      </c>
      <c r="F57" s="477">
        <v>0</v>
      </c>
      <c r="G57" s="477">
        <v>433.47</v>
      </c>
      <c r="H57" s="413">
        <v>0</v>
      </c>
      <c r="I57" s="458">
        <f t="shared" si="2"/>
        <v>0</v>
      </c>
      <c r="J57" s="478">
        <f t="shared" si="3"/>
        <v>0</v>
      </c>
      <c r="K57" s="10" t="s">
        <v>358</v>
      </c>
      <c r="O57" s="10" t="s">
        <v>359</v>
      </c>
    </row>
    <row r="58" spans="1:18" ht="15.75" thickBot="1" x14ac:dyDescent="0.3">
      <c r="A58" s="28" t="s">
        <v>41</v>
      </c>
      <c r="B58" s="890"/>
      <c r="C58" s="890"/>
      <c r="D58" s="890"/>
      <c r="E58" s="890"/>
      <c r="F58" s="891"/>
      <c r="G58" s="479"/>
      <c r="H58" s="479"/>
      <c r="I58" s="142">
        <f>SUM(I30:I57)</f>
        <v>11518.23</v>
      </c>
      <c r="J58" s="107">
        <f>SUM(J30:J57)</f>
        <v>8851.9125000000004</v>
      </c>
    </row>
    <row r="59" spans="1:18" x14ac:dyDescent="0.25">
      <c r="K59" s="14" t="s">
        <v>354</v>
      </c>
      <c r="L59" s="14" t="s">
        <v>357</v>
      </c>
      <c r="M59" s="14" t="s">
        <v>355</v>
      </c>
      <c r="O59" s="14" t="s">
        <v>354</v>
      </c>
      <c r="P59" s="14" t="s">
        <v>357</v>
      </c>
      <c r="Q59" s="14" t="s">
        <v>355</v>
      </c>
    </row>
    <row r="60" spans="1:18" x14ac:dyDescent="0.25">
      <c r="K60" s="691">
        <f>J7</f>
        <v>0</v>
      </c>
      <c r="L60" s="10" t="s">
        <v>367</v>
      </c>
      <c r="M60" s="691">
        <f>K60/$K$4</f>
        <v>0</v>
      </c>
      <c r="N60" s="10" t="s">
        <v>369</v>
      </c>
      <c r="O60" s="690">
        <v>4900</v>
      </c>
      <c r="P60" s="10" t="s">
        <v>360</v>
      </c>
      <c r="Q60" s="690">
        <f>O60/$K$4</f>
        <v>0.17147856517935259</v>
      </c>
      <c r="R60" s="889" t="s">
        <v>366</v>
      </c>
    </row>
    <row r="61" spans="1:18" x14ac:dyDescent="0.25">
      <c r="K61" s="691">
        <f>J5</f>
        <v>29911</v>
      </c>
      <c r="L61" s="10" t="s">
        <v>368</v>
      </c>
      <c r="M61" s="691">
        <f>K61/$K$4</f>
        <v>1.0467541557305338</v>
      </c>
      <c r="O61" s="690">
        <v>4350</v>
      </c>
      <c r="P61" s="10" t="s">
        <v>361</v>
      </c>
      <c r="Q61" s="690">
        <f t="shared" ref="Q61:Q71" si="6">O61/$K$4</f>
        <v>0.15223097112860892</v>
      </c>
      <c r="R61" s="889"/>
    </row>
    <row r="62" spans="1:18" x14ac:dyDescent="0.25">
      <c r="K62" s="691">
        <f>I58+J58+R28</f>
        <v>20370.142500000002</v>
      </c>
      <c r="L62" s="10" t="s">
        <v>351</v>
      </c>
      <c r="M62" s="691">
        <f t="shared" ref="M62:M67" si="7">K62/$K$4</f>
        <v>0.71286587926509193</v>
      </c>
      <c r="N62" s="10" t="s">
        <v>371</v>
      </c>
      <c r="O62" s="690">
        <v>5250</v>
      </c>
      <c r="P62" s="10" t="s">
        <v>362</v>
      </c>
      <c r="Q62" s="690">
        <f t="shared" si="6"/>
        <v>0.18372703412073491</v>
      </c>
      <c r="R62" s="889"/>
    </row>
    <row r="63" spans="1:18" x14ac:dyDescent="0.25">
      <c r="K63" s="691">
        <f>Gravelage!E16</f>
        <v>40688.536443572419</v>
      </c>
      <c r="L63" s="10" t="s">
        <v>349</v>
      </c>
      <c r="M63" s="691">
        <f t="shared" si="7"/>
        <v>1.4239207854268563</v>
      </c>
      <c r="N63" s="10" t="s">
        <v>370</v>
      </c>
      <c r="O63" s="690">
        <v>8100</v>
      </c>
      <c r="P63" s="10" t="s">
        <v>363</v>
      </c>
      <c r="Q63" s="690">
        <f t="shared" si="6"/>
        <v>0.28346456692913385</v>
      </c>
      <c r="R63" s="889"/>
    </row>
    <row r="64" spans="1:18" x14ac:dyDescent="0.25">
      <c r="K64" s="691">
        <f>R10</f>
        <v>0</v>
      </c>
      <c r="L64" s="10" t="s">
        <v>350</v>
      </c>
      <c r="M64" s="691">
        <f t="shared" si="7"/>
        <v>0</v>
      </c>
      <c r="N64" s="693">
        <v>1845.93</v>
      </c>
      <c r="O64" s="690">
        <v>11900</v>
      </c>
      <c r="P64" s="10" t="s">
        <v>364</v>
      </c>
      <c r="Q64" s="690">
        <f t="shared" si="6"/>
        <v>0.41644794400699914</v>
      </c>
      <c r="R64" s="889"/>
    </row>
    <row r="65" spans="10:17" x14ac:dyDescent="0.25">
      <c r="K65" s="691">
        <f>Gravelage!I23+'Construction de chemin'!L29</f>
        <v>4731.4191845432752</v>
      </c>
      <c r="L65" s="10" t="s">
        <v>346</v>
      </c>
      <c r="M65" s="691">
        <f t="shared" si="7"/>
        <v>0.16557897408725372</v>
      </c>
      <c r="O65" s="690">
        <v>7421.8875000000007</v>
      </c>
      <c r="P65" s="10" t="s">
        <v>351</v>
      </c>
      <c r="Q65" s="690">
        <f t="shared" si="6"/>
        <v>0.25973359580052496</v>
      </c>
    </row>
    <row r="66" spans="10:17" x14ac:dyDescent="0.25">
      <c r="K66" s="691">
        <f>E19*K4</f>
        <v>300.83816666666667</v>
      </c>
      <c r="L66" s="10" t="s">
        <v>352</v>
      </c>
      <c r="M66" s="691">
        <f t="shared" si="7"/>
        <v>1.0528019830854477E-2</v>
      </c>
      <c r="O66" s="690">
        <v>38026.669573432162</v>
      </c>
      <c r="P66" s="10" t="s">
        <v>349</v>
      </c>
      <c r="Q66" s="690">
        <f t="shared" si="6"/>
        <v>1.3307670891839776</v>
      </c>
    </row>
    <row r="67" spans="10:17" x14ac:dyDescent="0.25">
      <c r="K67" s="691">
        <f>SUM(K60:K66)*0.07</f>
        <v>6720.1355406347666</v>
      </c>
      <c r="L67" s="10" t="s">
        <v>353</v>
      </c>
      <c r="M67" s="691">
        <f t="shared" si="7"/>
        <v>0.23517534700384135</v>
      </c>
      <c r="O67" s="690">
        <v>2070</v>
      </c>
      <c r="P67" s="10" t="s">
        <v>350</v>
      </c>
      <c r="Q67" s="690">
        <f t="shared" si="6"/>
        <v>7.2440944881889763E-2</v>
      </c>
    </row>
    <row r="68" spans="10:17" x14ac:dyDescent="0.25">
      <c r="J68" s="10" t="s">
        <v>356</v>
      </c>
      <c r="K68" s="691">
        <f>SUM(K60:K67)</f>
        <v>102722.07183541714</v>
      </c>
      <c r="M68" s="691">
        <f>SUM(M60:M67)</f>
        <v>3.594823161344431</v>
      </c>
      <c r="O68" s="690">
        <v>5263.5543804670097</v>
      </c>
      <c r="P68" s="10" t="s">
        <v>346</v>
      </c>
      <c r="Q68" s="690">
        <f t="shared" si="6"/>
        <v>0.18420137814407733</v>
      </c>
    </row>
    <row r="69" spans="10:17" x14ac:dyDescent="0.25">
      <c r="O69" s="690">
        <v>394.74437771203162</v>
      </c>
      <c r="P69" s="10" t="s">
        <v>352</v>
      </c>
      <c r="Q69" s="690">
        <f t="shared" si="6"/>
        <v>1.3814326429117467E-2</v>
      </c>
    </row>
    <row r="70" spans="10:17" x14ac:dyDescent="0.25">
      <c r="K70" s="692" t="s">
        <v>365</v>
      </c>
      <c r="O70" s="690">
        <f>SUM(O60:O69)*0.07</f>
        <v>6137.3799082127862</v>
      </c>
      <c r="P70" s="10" t="s">
        <v>353</v>
      </c>
      <c r="Q70" s="690">
        <f t="shared" si="6"/>
        <v>0.21478144910630922</v>
      </c>
    </row>
    <row r="71" spans="10:17" x14ac:dyDescent="0.25">
      <c r="K71" s="10" t="s">
        <v>267</v>
      </c>
      <c r="L71" s="10">
        <v>1.2710411198600178</v>
      </c>
      <c r="O71" s="690">
        <f>SUM(O60:O70)</f>
        <v>93814.235739823998</v>
      </c>
      <c r="Q71" s="690">
        <f t="shared" si="6"/>
        <v>3.2830878649107262</v>
      </c>
    </row>
    <row r="72" spans="10:17" x14ac:dyDescent="0.25">
      <c r="K72" s="10" t="s">
        <v>268</v>
      </c>
      <c r="L72" s="10">
        <v>0.22613779527559058</v>
      </c>
    </row>
    <row r="73" spans="10:17" x14ac:dyDescent="0.25">
      <c r="K73" s="10" t="s">
        <v>34</v>
      </c>
      <c r="L73" s="10">
        <v>1.37</v>
      </c>
    </row>
    <row r="74" spans="10:17" x14ac:dyDescent="0.25">
      <c r="K74" s="10" t="s">
        <v>269</v>
      </c>
      <c r="L74" s="10">
        <v>0.23985107183594162</v>
      </c>
    </row>
    <row r="75" spans="10:17" x14ac:dyDescent="0.25">
      <c r="K75" s="10" t="s">
        <v>144</v>
      </c>
      <c r="L75" s="10">
        <v>3.1070299869715496</v>
      </c>
    </row>
    <row r="76" spans="10:17" x14ac:dyDescent="0.25">
      <c r="K76" s="10" t="s">
        <v>150</v>
      </c>
      <c r="L76" s="10">
        <v>0.21749209908800848</v>
      </c>
    </row>
    <row r="77" spans="10:17" x14ac:dyDescent="0.25">
      <c r="K77" s="10" t="s">
        <v>140</v>
      </c>
      <c r="L77" s="10">
        <v>3.3245220860595581</v>
      </c>
    </row>
  </sheetData>
  <mergeCells count="21">
    <mergeCell ref="O12:P12"/>
    <mergeCell ref="B8:E9"/>
    <mergeCell ref="O17:P17"/>
    <mergeCell ref="O6:P6"/>
    <mergeCell ref="A1:Q1"/>
    <mergeCell ref="A8:A9"/>
    <mergeCell ref="K6:L6"/>
    <mergeCell ref="K3:L3"/>
    <mergeCell ref="K4:L4"/>
    <mergeCell ref="F3:I3"/>
    <mergeCell ref="A28:A29"/>
    <mergeCell ref="A30:A35"/>
    <mergeCell ref="A36:A57"/>
    <mergeCell ref="A10:A24"/>
    <mergeCell ref="C16:D21"/>
    <mergeCell ref="R60:R64"/>
    <mergeCell ref="B58:F58"/>
    <mergeCell ref="O22:P22"/>
    <mergeCell ref="B28:J28"/>
    <mergeCell ref="O27:P27"/>
    <mergeCell ref="C23:D24"/>
  </mergeCells>
  <pageMargins left="0.7" right="0.7" top="0.75" bottom="0.75" header="0.3" footer="0.3"/>
  <pageSetup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zoomScaleNormal="100" workbookViewId="0">
      <pane ySplit="1" topLeftCell="A2" activePane="bottomLeft" state="frozen"/>
      <selection pane="bottomLeft" sqref="A1:O1"/>
    </sheetView>
  </sheetViews>
  <sheetFormatPr baseColWidth="10" defaultRowHeight="15" x14ac:dyDescent="0.25"/>
  <cols>
    <col min="3" max="3" width="23.85546875" bestFit="1" customWidth="1"/>
    <col min="4" max="4" width="15.28515625" bestFit="1" customWidth="1"/>
    <col min="5" max="6" width="15.28515625" style="10" bestFit="1" customWidth="1"/>
    <col min="7" max="7" width="14.140625" style="10" customWidth="1"/>
    <col min="10" max="10" width="18.85546875" bestFit="1" customWidth="1"/>
    <col min="11" max="11" width="13" bestFit="1" customWidth="1"/>
    <col min="12" max="12" width="14.140625" style="10" bestFit="1" customWidth="1"/>
    <col min="13" max="13" width="14.7109375" style="10" bestFit="1" customWidth="1"/>
    <col min="14" max="14" width="11.42578125" style="10"/>
    <col min="17" max="17" width="17.7109375" bestFit="1" customWidth="1"/>
    <col min="18" max="18" width="14.140625" bestFit="1" customWidth="1"/>
    <col min="19" max="20" width="14.140625" style="10" bestFit="1" customWidth="1"/>
  </cols>
  <sheetData>
    <row r="1" spans="1:21" s="10" customFormat="1" ht="33" customHeight="1" thickBot="1" x14ac:dyDescent="0.3">
      <c r="A1" s="838" t="str">
        <f>Total!C8</f>
        <v>LEMANCEAU_COURT</v>
      </c>
      <c r="B1" s="838"/>
      <c r="C1" s="838"/>
      <c r="D1" s="838"/>
      <c r="E1" s="838"/>
      <c r="F1" s="838"/>
      <c r="G1" s="838"/>
      <c r="H1" s="838"/>
      <c r="I1" s="838"/>
      <c r="J1" s="838"/>
      <c r="K1" s="838"/>
      <c r="L1" s="838"/>
      <c r="M1" s="838"/>
      <c r="N1" s="838"/>
      <c r="O1" s="838"/>
      <c r="P1" s="11"/>
      <c r="Q1" s="11"/>
      <c r="R1" s="11"/>
      <c r="S1" s="11"/>
      <c r="T1" s="11"/>
      <c r="U1" s="11"/>
    </row>
    <row r="2" spans="1:21" s="10" customFormat="1" ht="15" customHeight="1" x14ac:dyDescent="0.25">
      <c r="B2" s="778" t="s">
        <v>82</v>
      </c>
      <c r="C2" s="779"/>
      <c r="D2" s="779"/>
      <c r="E2" s="779"/>
      <c r="F2" s="779"/>
      <c r="G2" s="779"/>
      <c r="H2" s="779"/>
      <c r="I2" s="779"/>
      <c r="J2" s="779"/>
      <c r="K2" s="779"/>
      <c r="L2" s="780"/>
    </row>
    <row r="3" spans="1:21" s="10" customFormat="1" ht="15.75" customHeight="1" thickBot="1" x14ac:dyDescent="0.3">
      <c r="B3" s="870"/>
      <c r="C3" s="782"/>
      <c r="D3" s="782"/>
      <c r="E3" s="782"/>
      <c r="F3" s="782"/>
      <c r="G3" s="782"/>
      <c r="H3" s="782"/>
      <c r="I3" s="782"/>
      <c r="J3" s="782"/>
      <c r="K3" s="782"/>
      <c r="L3" s="783"/>
    </row>
    <row r="4" spans="1:21" s="10" customFormat="1" ht="15.75" thickBot="1" x14ac:dyDescent="0.3">
      <c r="B4" s="368"/>
      <c r="C4" s="786" t="s">
        <v>112</v>
      </c>
      <c r="D4" s="786"/>
      <c r="E4" s="786"/>
      <c r="F4" s="786"/>
      <c r="G4" s="787"/>
      <c r="H4" s="785" t="s">
        <v>157</v>
      </c>
      <c r="I4" s="786"/>
      <c r="J4" s="786"/>
      <c r="K4" s="786"/>
      <c r="L4" s="787"/>
    </row>
    <row r="5" spans="1:21" s="10" customFormat="1" ht="15.75" thickBot="1" x14ac:dyDescent="0.3">
      <c r="B5" s="390" t="s">
        <v>215</v>
      </c>
      <c r="C5" s="357" t="str">
        <f>Total!D4</f>
        <v>SEPM</v>
      </c>
      <c r="D5" s="183" t="str">
        <f>Total!E4</f>
        <v>BOP</v>
      </c>
      <c r="E5" s="183" t="str">
        <f>Total!F4</f>
        <v>PEU_DÉROULAGE</v>
      </c>
      <c r="F5" s="183" t="str">
        <f>Total!G4</f>
        <v>PET</v>
      </c>
      <c r="G5" s="353" t="str">
        <f>Total!K4</f>
        <v>-</v>
      </c>
      <c r="H5" s="183" t="str">
        <f>Total!L4</f>
        <v>SEPM</v>
      </c>
      <c r="I5" s="183" t="str">
        <f>Total!M4</f>
        <v>BOP</v>
      </c>
      <c r="J5" s="183" t="str">
        <f>Total!N4</f>
        <v>PEU_DÉROULAGE</v>
      </c>
      <c r="K5" s="183" t="str">
        <f>Total!O4</f>
        <v>PET</v>
      </c>
      <c r="L5" s="353" t="str">
        <f>Total!S4</f>
        <v>-</v>
      </c>
    </row>
    <row r="6" spans="1:21" s="10" customFormat="1" x14ac:dyDescent="0.25">
      <c r="B6" s="27" t="s">
        <v>185</v>
      </c>
      <c r="C6" s="73">
        <f>Total!D5</f>
        <v>11000</v>
      </c>
      <c r="D6" s="70">
        <f>Total!E5</f>
        <v>2000</v>
      </c>
      <c r="E6" s="70">
        <f>Total!F5</f>
        <v>266</v>
      </c>
      <c r="F6" s="70">
        <f>Total!G5</f>
        <v>2500</v>
      </c>
      <c r="G6" s="71">
        <f>Total!K5</f>
        <v>0</v>
      </c>
      <c r="H6" s="85">
        <f>Total!L5</f>
        <v>11000</v>
      </c>
      <c r="I6" s="70">
        <f>Total!M5</f>
        <v>2000</v>
      </c>
      <c r="J6" s="70">
        <f>Total!N5</f>
        <v>266</v>
      </c>
      <c r="K6" s="70">
        <f>Total!O5</f>
        <v>2500</v>
      </c>
      <c r="L6" s="71">
        <f>Total!S5</f>
        <v>0</v>
      </c>
    </row>
    <row r="7" spans="1:21" s="10" customFormat="1" ht="15.75" customHeight="1" x14ac:dyDescent="0.25">
      <c r="B7" s="25" t="s">
        <v>218</v>
      </c>
      <c r="C7" s="133">
        <v>0</v>
      </c>
      <c r="D7" s="54">
        <v>0</v>
      </c>
      <c r="E7" s="381">
        <v>0</v>
      </c>
      <c r="F7" s="381">
        <v>0</v>
      </c>
      <c r="G7" s="383">
        <v>0</v>
      </c>
      <c r="H7" s="382">
        <v>0</v>
      </c>
      <c r="I7" s="52">
        <v>0</v>
      </c>
      <c r="J7" s="52">
        <v>0</v>
      </c>
      <c r="K7" s="52">
        <v>0</v>
      </c>
      <c r="L7" s="17">
        <v>0</v>
      </c>
    </row>
    <row r="8" spans="1:21" s="10" customFormat="1" ht="15.75" customHeight="1" thickBot="1" x14ac:dyDescent="0.3">
      <c r="B8" s="126" t="s">
        <v>219</v>
      </c>
      <c r="C8" s="346">
        <f>C6-C7</f>
        <v>11000</v>
      </c>
      <c r="D8" s="512">
        <f t="shared" ref="D8:L8" si="0">D6-D7</f>
        <v>2000</v>
      </c>
      <c r="E8" s="512">
        <f t="shared" si="0"/>
        <v>266</v>
      </c>
      <c r="F8" s="512">
        <f t="shared" si="0"/>
        <v>2500</v>
      </c>
      <c r="G8" s="96">
        <f t="shared" si="0"/>
        <v>0</v>
      </c>
      <c r="H8" s="511">
        <f t="shared" si="0"/>
        <v>11000</v>
      </c>
      <c r="I8" s="512">
        <f t="shared" si="0"/>
        <v>2000</v>
      </c>
      <c r="J8" s="512">
        <f t="shared" si="0"/>
        <v>266</v>
      </c>
      <c r="K8" s="512">
        <f t="shared" si="0"/>
        <v>2500</v>
      </c>
      <c r="L8" s="96">
        <f t="shared" si="0"/>
        <v>0</v>
      </c>
    </row>
    <row r="9" spans="1:21" s="10" customFormat="1" ht="15.75" customHeight="1" thickBot="1" x14ac:dyDescent="0.3">
      <c r="B9" s="127" t="s">
        <v>217</v>
      </c>
      <c r="C9" s="580">
        <f>IF(C6=0,0,C8/C6)</f>
        <v>1</v>
      </c>
      <c r="D9" s="581">
        <f t="shared" ref="D9:L9" si="1">IF(D6=0,0,D8/D6)</f>
        <v>1</v>
      </c>
      <c r="E9" s="581">
        <f t="shared" si="1"/>
        <v>1</v>
      </c>
      <c r="F9" s="581">
        <f t="shared" si="1"/>
        <v>1</v>
      </c>
      <c r="G9" s="235">
        <f t="shared" si="1"/>
        <v>0</v>
      </c>
      <c r="H9" s="580">
        <f t="shared" si="1"/>
        <v>1</v>
      </c>
      <c r="I9" s="581">
        <f t="shared" si="1"/>
        <v>1</v>
      </c>
      <c r="J9" s="581">
        <f t="shared" si="1"/>
        <v>1</v>
      </c>
      <c r="K9" s="581">
        <f t="shared" si="1"/>
        <v>1</v>
      </c>
      <c r="L9" s="235">
        <f t="shared" si="1"/>
        <v>0</v>
      </c>
    </row>
    <row r="10" spans="1:21" s="10" customFormat="1" ht="15.75" customHeight="1" thickBot="1" x14ac:dyDescent="0.3">
      <c r="B10" s="60"/>
      <c r="C10" s="369"/>
      <c r="D10" s="206"/>
      <c r="E10" s="370"/>
      <c r="F10" s="370"/>
      <c r="G10" s="370"/>
      <c r="H10" s="369"/>
      <c r="I10" s="369"/>
      <c r="J10" s="369"/>
      <c r="K10" s="369"/>
      <c r="L10" s="369"/>
    </row>
    <row r="11" spans="1:21" ht="18.75" customHeight="1" x14ac:dyDescent="0.25">
      <c r="B11" s="778" t="s">
        <v>27</v>
      </c>
      <c r="C11" s="779"/>
      <c r="D11" s="779"/>
      <c r="E11" s="779"/>
      <c r="F11" s="779"/>
      <c r="G11" s="780"/>
    </row>
    <row r="12" spans="1:21" ht="15" customHeight="1" thickBot="1" x14ac:dyDescent="0.3">
      <c r="B12" s="781"/>
      <c r="C12" s="782"/>
      <c r="D12" s="782"/>
      <c r="E12" s="782"/>
      <c r="F12" s="782"/>
      <c r="G12" s="783"/>
    </row>
    <row r="13" spans="1:21" ht="15.75" customHeight="1" thickBot="1" x14ac:dyDescent="0.3">
      <c r="B13" s="277" t="s">
        <v>1</v>
      </c>
      <c r="C13" s="307" t="s">
        <v>3</v>
      </c>
      <c r="D13" s="308" t="s">
        <v>185</v>
      </c>
      <c r="E13" s="309" t="s">
        <v>186</v>
      </c>
      <c r="F13" s="310" t="s">
        <v>187</v>
      </c>
      <c r="G13" s="39" t="s">
        <v>196</v>
      </c>
    </row>
    <row r="14" spans="1:21" ht="15.75" thickBot="1" x14ac:dyDescent="0.3">
      <c r="B14" s="795" t="s">
        <v>27</v>
      </c>
      <c r="C14" s="259" t="s">
        <v>188</v>
      </c>
      <c r="D14" s="299">
        <f>Total!D7</f>
        <v>31532</v>
      </c>
      <c r="E14" s="243">
        <f>SUM(C7:L7)</f>
        <v>0</v>
      </c>
      <c r="F14" s="348">
        <f t="shared" ref="F14:F17" si="2">D14-E14</f>
        <v>31532</v>
      </c>
      <c r="G14" s="315">
        <f>F14/D14</f>
        <v>1</v>
      </c>
    </row>
    <row r="15" spans="1:21" x14ac:dyDescent="0.25">
      <c r="B15" s="805"/>
      <c r="C15" s="267" t="s">
        <v>189</v>
      </c>
      <c r="D15" s="112">
        <f>Abattage!P18+Abattage!Q18+Abattage!R18+Débardage!P18+Débardage!Q18+Ébranchage!P18+Tronçonage!P19+Mesurage!K9+Mesurage!L9+'Surveillance Récolte'!K8+'Surveillance Récolte'!L8</f>
        <v>527.41798253736033</v>
      </c>
      <c r="E15" s="324">
        <v>0</v>
      </c>
      <c r="F15" s="311">
        <f t="shared" si="2"/>
        <v>527.41798253736033</v>
      </c>
      <c r="G15" s="340">
        <f>F15/D15</f>
        <v>1</v>
      </c>
    </row>
    <row r="16" spans="1:21" x14ac:dyDescent="0.25">
      <c r="B16" s="805"/>
      <c r="C16" s="267" t="s">
        <v>216</v>
      </c>
      <c r="D16" s="371">
        <f>(Abattage!U12*Abattage!U13)+(Abattage!V12*Abattage!V13)+(Débardage!T12*Débardage!T13)+(Débardage!U12*Débardage!U13)+(Ébranchage!S12*Ébranchage!S13)+(Tronçonage!S13*Tronçonage!S14)</f>
        <v>32.520000000000003</v>
      </c>
      <c r="E16" s="324">
        <v>0</v>
      </c>
      <c r="F16" s="312">
        <f t="shared" si="2"/>
        <v>32.520000000000003</v>
      </c>
      <c r="G16" s="340">
        <f t="shared" ref="G16:G19" si="3">F16/D16</f>
        <v>1</v>
      </c>
    </row>
    <row r="17" spans="2:16" x14ac:dyDescent="0.25">
      <c r="B17" s="805"/>
      <c r="C17" s="168" t="s">
        <v>190</v>
      </c>
      <c r="D17" s="316">
        <f>(Abattage!U19*Abattage!U20)+(Abattage!V19*Abattage!V20)+(Débardage!T25*Débardage!T26)+(Débardage!U25*Débardage!U26)+(Ébranchage!S18*Ébranchage!S19)+(Tronçonage!S19*Tronçonage!S20)</f>
        <v>0</v>
      </c>
      <c r="E17" s="324">
        <v>0</v>
      </c>
      <c r="F17" s="312">
        <f t="shared" si="2"/>
        <v>0</v>
      </c>
      <c r="G17" s="340" t="e">
        <f t="shared" si="3"/>
        <v>#DIV/0!</v>
      </c>
    </row>
    <row r="18" spans="2:16" ht="15.75" thickBot="1" x14ac:dyDescent="0.3">
      <c r="B18" s="805"/>
      <c r="C18" s="168" t="s">
        <v>191</v>
      </c>
      <c r="D18" s="316">
        <f>(Abattage!U26*Abattage!U25)+(Abattage!V26*Abattage!V25)+(Débardage!T26*Débardage!T24)+(Débardage!U26*Débardage!U25)+(Ébranchage!S24*Ébranchage!S23)+(Tronçonage!S25*Tronçonage!S23)</f>
        <v>0</v>
      </c>
      <c r="E18" s="324">
        <v>0</v>
      </c>
      <c r="F18" s="312">
        <f>D18-E18</f>
        <v>0</v>
      </c>
      <c r="G18" s="340" t="e">
        <f t="shared" si="3"/>
        <v>#DIV/0!</v>
      </c>
    </row>
    <row r="19" spans="2:16" ht="15.75" thickBot="1" x14ac:dyDescent="0.3">
      <c r="B19" s="797"/>
      <c r="C19" s="313" t="s">
        <v>197</v>
      </c>
      <c r="D19" s="314">
        <f>Total!U34</f>
        <v>623501.71601216181</v>
      </c>
      <c r="E19" s="326">
        <v>0</v>
      </c>
      <c r="F19" s="327">
        <f>D19-E19</f>
        <v>623501.71601216181</v>
      </c>
      <c r="G19" s="341">
        <f t="shared" si="3"/>
        <v>1</v>
      </c>
      <c r="P19" s="51"/>
    </row>
  </sheetData>
  <mergeCells count="6">
    <mergeCell ref="B14:B19"/>
    <mergeCell ref="A1:O1"/>
    <mergeCell ref="B11:G12"/>
    <mergeCell ref="B2:L3"/>
    <mergeCell ref="C4:G4"/>
    <mergeCell ref="H4:L4"/>
  </mergeCells>
  <conditionalFormatting sqref="G15:G19">
    <cfRule type="cellIs" dxfId="1" priority="1" operator="lessThan">
      <formula>$G$14</formula>
    </cfRule>
  </conditionalFormatting>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2"/>
  <sheetViews>
    <sheetView workbookViewId="0">
      <pane ySplit="1" topLeftCell="A2" activePane="bottomLeft" state="frozen"/>
      <selection pane="bottomLeft" activeCell="N22" sqref="N22"/>
    </sheetView>
  </sheetViews>
  <sheetFormatPr baseColWidth="10" defaultRowHeight="15" x14ac:dyDescent="0.25"/>
  <cols>
    <col min="2" max="2" width="11.7109375" bestFit="1" customWidth="1"/>
    <col min="3" max="3" width="28.140625" customWidth="1"/>
    <col min="4" max="5" width="13" bestFit="1" customWidth="1"/>
    <col min="6" max="6" width="13.7109375" bestFit="1" customWidth="1"/>
    <col min="7" max="7" width="13.42578125" customWidth="1"/>
  </cols>
  <sheetData>
    <row r="1" spans="1:17" ht="27" customHeight="1" x14ac:dyDescent="0.25">
      <c r="A1" s="838" t="str">
        <f>Total!C8</f>
        <v>LEMANCEAU_COURT</v>
      </c>
      <c r="B1" s="838"/>
      <c r="C1" s="838"/>
      <c r="D1" s="838"/>
      <c r="E1" s="838"/>
      <c r="F1" s="838"/>
      <c r="G1" s="838"/>
      <c r="H1" s="838"/>
      <c r="I1" s="838"/>
      <c r="J1" s="838"/>
      <c r="K1" s="838"/>
      <c r="L1" s="838"/>
      <c r="M1" s="838"/>
      <c r="N1" s="838"/>
      <c r="O1" s="838"/>
      <c r="P1" s="838"/>
      <c r="Q1" s="838"/>
    </row>
    <row r="2" spans="1:17" s="10" customFormat="1" ht="15.75" thickBot="1" x14ac:dyDescent="0.3"/>
    <row r="3" spans="1:17" ht="15.75" thickBot="1" x14ac:dyDescent="0.3">
      <c r="B3" s="785" t="s">
        <v>275</v>
      </c>
      <c r="C3" s="786"/>
      <c r="D3" s="786"/>
      <c r="E3" s="786"/>
      <c r="F3" s="786"/>
      <c r="G3" s="787"/>
    </row>
    <row r="4" spans="1:17" ht="15.75" thickBot="1" x14ac:dyDescent="0.3">
      <c r="B4" s="300"/>
      <c r="C4" s="283" t="s">
        <v>271</v>
      </c>
      <c r="D4" s="323" t="s">
        <v>272</v>
      </c>
      <c r="E4" s="284" t="s">
        <v>273</v>
      </c>
      <c r="F4" s="401" t="s">
        <v>274</v>
      </c>
      <c r="G4" s="401" t="s">
        <v>31</v>
      </c>
    </row>
    <row r="5" spans="1:17" x14ac:dyDescent="0.25">
      <c r="B5" s="211" t="s">
        <v>185</v>
      </c>
      <c r="C5" s="320">
        <f>'Construction de chemin'!G5</f>
        <v>0</v>
      </c>
      <c r="D5" s="321">
        <f>'Construction de chemin'!H5</f>
        <v>4273</v>
      </c>
      <c r="E5" s="322">
        <f>'Construction de chemin'!G6</f>
        <v>0</v>
      </c>
      <c r="F5" s="322">
        <f>'Construction de chemin'!H6</f>
        <v>0</v>
      </c>
      <c r="G5" s="322">
        <f>'Construction de chemin'!I7</f>
        <v>0</v>
      </c>
    </row>
    <row r="6" spans="1:17" x14ac:dyDescent="0.25">
      <c r="B6" s="211" t="s">
        <v>186</v>
      </c>
      <c r="C6" s="288"/>
      <c r="D6" s="302"/>
      <c r="E6" s="301">
        <v>0</v>
      </c>
      <c r="F6" s="301">
        <v>0</v>
      </c>
      <c r="G6" s="301"/>
    </row>
    <row r="7" spans="1:17" ht="15.75" thickBot="1" x14ac:dyDescent="0.3">
      <c r="B7" s="169" t="s">
        <v>192</v>
      </c>
      <c r="C7" s="303"/>
      <c r="D7" s="304"/>
      <c r="E7" s="305"/>
      <c r="F7" s="305"/>
      <c r="G7" s="305"/>
    </row>
    <row r="8" spans="1:17" ht="15.75" thickBot="1" x14ac:dyDescent="0.3">
      <c r="B8" s="10"/>
      <c r="C8" s="10"/>
      <c r="D8" s="10"/>
      <c r="E8" s="10"/>
      <c r="F8" s="10"/>
      <c r="G8" s="10"/>
    </row>
    <row r="9" spans="1:17" x14ac:dyDescent="0.25">
      <c r="B9" s="778" t="s">
        <v>26</v>
      </c>
      <c r="C9" s="779"/>
      <c r="D9" s="779"/>
      <c r="E9" s="779"/>
      <c r="F9" s="779"/>
      <c r="G9" s="780"/>
    </row>
    <row r="10" spans="1:17" ht="15.75" thickBot="1" x14ac:dyDescent="0.3">
      <c r="B10" s="781"/>
      <c r="C10" s="782"/>
      <c r="D10" s="782"/>
      <c r="E10" s="782"/>
      <c r="F10" s="782"/>
      <c r="G10" s="857"/>
    </row>
    <row r="11" spans="1:17" ht="15.75" thickBot="1" x14ac:dyDescent="0.3">
      <c r="B11" s="277" t="s">
        <v>1</v>
      </c>
      <c r="C11" s="307" t="s">
        <v>3</v>
      </c>
      <c r="D11" s="317" t="s">
        <v>185</v>
      </c>
      <c r="E11" s="319" t="s">
        <v>186</v>
      </c>
      <c r="F11" s="329" t="s">
        <v>187</v>
      </c>
      <c r="G11" s="55" t="s">
        <v>196</v>
      </c>
    </row>
    <row r="12" spans="1:17" x14ac:dyDescent="0.25">
      <c r="B12" s="800" t="s">
        <v>28</v>
      </c>
      <c r="C12" s="306" t="s">
        <v>329</v>
      </c>
      <c r="D12" s="524">
        <f>D5+C5</f>
        <v>4273</v>
      </c>
      <c r="E12" s="108"/>
      <c r="F12" s="584">
        <f t="shared" ref="F12:F20" si="0">D12-E12</f>
        <v>4273</v>
      </c>
      <c r="G12" s="328">
        <f t="shared" ref="G12:G20" si="1">F12/D12</f>
        <v>1</v>
      </c>
    </row>
    <row r="13" spans="1:17" s="10" customFormat="1" x14ac:dyDescent="0.25">
      <c r="B13" s="796"/>
      <c r="C13" s="582" t="s">
        <v>330</v>
      </c>
      <c r="D13" s="321">
        <f>F5+E5</f>
        <v>0</v>
      </c>
      <c r="E13" s="583"/>
      <c r="F13" s="585">
        <f>D13-E13</f>
        <v>0</v>
      </c>
      <c r="G13" s="345" t="e">
        <f t="shared" si="1"/>
        <v>#DIV/0!</v>
      </c>
    </row>
    <row r="14" spans="1:17" s="10" customFormat="1" x14ac:dyDescent="0.25">
      <c r="B14" s="796"/>
      <c r="C14" s="582" t="s">
        <v>331</v>
      </c>
      <c r="D14" s="321">
        <f>G5</f>
        <v>0</v>
      </c>
      <c r="E14" s="583"/>
      <c r="F14" s="585">
        <f>D14-E14</f>
        <v>0</v>
      </c>
      <c r="G14" s="345" t="e">
        <f t="shared" si="1"/>
        <v>#DIV/0!</v>
      </c>
    </row>
    <row r="15" spans="1:17" x14ac:dyDescent="0.25">
      <c r="B15" s="796"/>
      <c r="C15" s="298" t="s">
        <v>189</v>
      </c>
      <c r="D15" s="251">
        <f>Gravelage!I19+'Construction de chemin'!L10+'Construction de chemin'!L14+'Construction de chemin'!L19+'Construction de chemin'!L22</f>
        <v>40.621846778940494</v>
      </c>
      <c r="E15" s="302"/>
      <c r="F15" s="586">
        <f t="shared" si="0"/>
        <v>40.621846778940494</v>
      </c>
      <c r="G15" s="345">
        <f t="shared" si="1"/>
        <v>1</v>
      </c>
    </row>
    <row r="16" spans="1:17" x14ac:dyDescent="0.25">
      <c r="B16" s="796"/>
      <c r="C16" s="298" t="s">
        <v>216</v>
      </c>
      <c r="D16" s="525">
        <f>'Construction de chemin'!P8*'Construction de chemin'!P9</f>
        <v>0</v>
      </c>
      <c r="E16" s="344"/>
      <c r="F16" s="587">
        <f t="shared" si="0"/>
        <v>0</v>
      </c>
      <c r="G16" s="345" t="e">
        <f t="shared" si="1"/>
        <v>#DIV/0!</v>
      </c>
    </row>
    <row r="17" spans="2:7" x14ac:dyDescent="0.25">
      <c r="B17" s="796"/>
      <c r="C17" s="298" t="s">
        <v>203</v>
      </c>
      <c r="D17" s="525" t="e">
        <f>'Construction de chemin'!P15+'Construction de chemin'!L20</f>
        <v>#DIV/0!</v>
      </c>
      <c r="E17" s="344"/>
      <c r="F17" s="587" t="e">
        <f t="shared" si="0"/>
        <v>#DIV/0!</v>
      </c>
      <c r="G17" s="345" t="e">
        <f t="shared" si="1"/>
        <v>#DIV/0!</v>
      </c>
    </row>
    <row r="18" spans="2:7" x14ac:dyDescent="0.25">
      <c r="B18" s="796"/>
      <c r="C18" s="298" t="s">
        <v>221</v>
      </c>
      <c r="D18" s="525" t="e">
        <f>'Construction de chemin'!P20</f>
        <v>#DIV/0!</v>
      </c>
      <c r="E18" s="344"/>
      <c r="F18" s="587" t="e">
        <f t="shared" si="0"/>
        <v>#DIV/0!</v>
      </c>
      <c r="G18" s="345" t="e">
        <f t="shared" si="1"/>
        <v>#DIV/0!</v>
      </c>
    </row>
    <row r="19" spans="2:7" x14ac:dyDescent="0.25">
      <c r="B19" s="796"/>
      <c r="C19" s="126" t="s">
        <v>194</v>
      </c>
      <c r="D19" s="525">
        <f>Gravelage!K4</f>
        <v>5</v>
      </c>
      <c r="E19" s="344"/>
      <c r="F19" s="587">
        <f t="shared" si="0"/>
        <v>5</v>
      </c>
      <c r="G19" s="345">
        <f t="shared" si="1"/>
        <v>1</v>
      </c>
    </row>
    <row r="20" spans="2:7" x14ac:dyDescent="0.25">
      <c r="B20" s="796"/>
      <c r="C20" s="126" t="s">
        <v>193</v>
      </c>
      <c r="D20" s="525">
        <f>Gravelage!H7</f>
        <v>7000</v>
      </c>
      <c r="E20" s="344"/>
      <c r="F20" s="587">
        <f t="shared" si="0"/>
        <v>7000</v>
      </c>
      <c r="G20" s="345">
        <f t="shared" si="1"/>
        <v>1</v>
      </c>
    </row>
    <row r="21" spans="2:7" s="10" customFormat="1" x14ac:dyDescent="0.25">
      <c r="B21" s="796"/>
      <c r="C21" s="126" t="s">
        <v>204</v>
      </c>
      <c r="D21" s="525">
        <f>'Construction de chemin'!E30</f>
        <v>12</v>
      </c>
      <c r="E21" s="344"/>
      <c r="F21" s="587">
        <f t="shared" ref="F21:F30" si="2">D21-E21</f>
        <v>12</v>
      </c>
      <c r="G21" s="345">
        <f t="shared" ref="G21:G30" si="3">F21/D21</f>
        <v>1</v>
      </c>
    </row>
    <row r="22" spans="2:7" s="10" customFormat="1" x14ac:dyDescent="0.25">
      <c r="B22" s="796"/>
      <c r="C22" s="126" t="s">
        <v>206</v>
      </c>
      <c r="D22" s="525">
        <f>'Construction de chemin'!E32</f>
        <v>4</v>
      </c>
      <c r="E22" s="344"/>
      <c r="F22" s="587">
        <f t="shared" si="2"/>
        <v>4</v>
      </c>
      <c r="G22" s="345">
        <f t="shared" si="3"/>
        <v>1</v>
      </c>
    </row>
    <row r="23" spans="2:7" s="10" customFormat="1" x14ac:dyDescent="0.25">
      <c r="B23" s="796"/>
      <c r="C23" s="126" t="s">
        <v>207</v>
      </c>
      <c r="D23" s="525">
        <f>'Construction de chemin'!E40</f>
        <v>1</v>
      </c>
      <c r="E23" s="344"/>
      <c r="F23" s="587">
        <f t="shared" si="2"/>
        <v>1</v>
      </c>
      <c r="G23" s="345">
        <f t="shared" si="3"/>
        <v>1</v>
      </c>
    </row>
    <row r="24" spans="2:7" s="10" customFormat="1" x14ac:dyDescent="0.25">
      <c r="B24" s="796"/>
      <c r="C24" s="126" t="s">
        <v>208</v>
      </c>
      <c r="D24" s="525">
        <f>'Construction de chemin'!E43</f>
        <v>0</v>
      </c>
      <c r="E24" s="344"/>
      <c r="F24" s="587">
        <f t="shared" si="2"/>
        <v>0</v>
      </c>
      <c r="G24" s="345" t="e">
        <f t="shared" si="3"/>
        <v>#DIV/0!</v>
      </c>
    </row>
    <row r="25" spans="2:7" s="10" customFormat="1" x14ac:dyDescent="0.25">
      <c r="B25" s="796"/>
      <c r="C25" s="126" t="s">
        <v>213</v>
      </c>
      <c r="D25" s="525">
        <v>0</v>
      </c>
      <c r="E25" s="344"/>
      <c r="F25" s="587">
        <f t="shared" si="2"/>
        <v>0</v>
      </c>
      <c r="G25" s="345" t="e">
        <f t="shared" si="3"/>
        <v>#DIV/0!</v>
      </c>
    </row>
    <row r="26" spans="2:7" s="10" customFormat="1" x14ac:dyDescent="0.25">
      <c r="B26" s="796"/>
      <c r="C26" s="126" t="s">
        <v>212</v>
      </c>
      <c r="D26" s="525">
        <v>0</v>
      </c>
      <c r="E26" s="344"/>
      <c r="F26" s="587">
        <f t="shared" si="2"/>
        <v>0</v>
      </c>
      <c r="G26" s="345" t="e">
        <f t="shared" si="3"/>
        <v>#DIV/0!</v>
      </c>
    </row>
    <row r="27" spans="2:7" s="10" customFormat="1" x14ac:dyDescent="0.25">
      <c r="B27" s="796"/>
      <c r="C27" s="126" t="s">
        <v>276</v>
      </c>
      <c r="D27" s="525">
        <f>'Construction de chemin'!E47</f>
        <v>0</v>
      </c>
      <c r="E27" s="344"/>
      <c r="F27" s="587">
        <f t="shared" si="2"/>
        <v>0</v>
      </c>
      <c r="G27" s="345" t="e">
        <f t="shared" si="3"/>
        <v>#DIV/0!</v>
      </c>
    </row>
    <row r="28" spans="2:7" s="10" customFormat="1" x14ac:dyDescent="0.25">
      <c r="B28" s="796"/>
      <c r="C28" s="126" t="s">
        <v>209</v>
      </c>
      <c r="D28" s="525">
        <v>0</v>
      </c>
      <c r="E28" s="344"/>
      <c r="F28" s="587">
        <f t="shared" si="2"/>
        <v>0</v>
      </c>
      <c r="G28" s="345" t="e">
        <f t="shared" si="3"/>
        <v>#DIV/0!</v>
      </c>
    </row>
    <row r="29" spans="2:7" s="10" customFormat="1" x14ac:dyDescent="0.25">
      <c r="B29" s="796"/>
      <c r="C29" s="126" t="s">
        <v>210</v>
      </c>
      <c r="D29" s="525">
        <v>0</v>
      </c>
      <c r="E29" s="344"/>
      <c r="F29" s="587">
        <f t="shared" si="2"/>
        <v>0</v>
      </c>
      <c r="G29" s="345" t="e">
        <f t="shared" si="3"/>
        <v>#DIV/0!</v>
      </c>
    </row>
    <row r="30" spans="2:7" s="10" customFormat="1" ht="15.75" thickBot="1" x14ac:dyDescent="0.3">
      <c r="B30" s="796"/>
      <c r="C30" s="588" t="s">
        <v>211</v>
      </c>
      <c r="D30" s="589">
        <v>0</v>
      </c>
      <c r="E30" s="590"/>
      <c r="F30" s="591">
        <f t="shared" si="2"/>
        <v>0</v>
      </c>
      <c r="G30" s="592" t="e">
        <f t="shared" si="3"/>
        <v>#DIV/0!</v>
      </c>
    </row>
    <row r="31" spans="2:7" ht="15.75" thickBot="1" x14ac:dyDescent="0.3">
      <c r="B31" s="806"/>
      <c r="C31" s="219" t="s">
        <v>197</v>
      </c>
      <c r="D31" s="593">
        <f>(Gravelage!E13+'Construction de chemin'!E24)*Total!D7</f>
        <v>104622.52026340341</v>
      </c>
      <c r="E31" s="594"/>
      <c r="F31" s="595">
        <f>D31-E31</f>
        <v>104622.52026340341</v>
      </c>
      <c r="G31" s="596">
        <f>F31/D31</f>
        <v>1</v>
      </c>
    </row>
    <row r="32" spans="2:7" x14ac:dyDescent="0.25">
      <c r="B32" s="51"/>
      <c r="E32" s="10"/>
      <c r="F32" s="10"/>
      <c r="G32" s="10"/>
    </row>
  </sheetData>
  <mergeCells count="4">
    <mergeCell ref="B9:G10"/>
    <mergeCell ref="B12:B31"/>
    <mergeCell ref="A1:Q1"/>
    <mergeCell ref="B3:G3"/>
  </mergeCells>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workbookViewId="0">
      <pane ySplit="1" topLeftCell="A2" activePane="bottomLeft" state="frozen"/>
      <selection pane="bottomLeft" activeCell="F31" sqref="F31"/>
    </sheetView>
  </sheetViews>
  <sheetFormatPr baseColWidth="10" defaultRowHeight="15" x14ac:dyDescent="0.25"/>
  <cols>
    <col min="1" max="1" width="5.85546875" style="10" customWidth="1"/>
    <col min="2" max="2" width="11.28515625" style="10" bestFit="1" customWidth="1"/>
    <col min="3" max="3" width="14" bestFit="1" customWidth="1"/>
    <col min="4" max="4" width="11.28515625" bestFit="1" customWidth="1"/>
    <col min="5" max="5" width="21.28515625" bestFit="1" customWidth="1"/>
    <col min="6" max="6" width="13.140625" bestFit="1" customWidth="1"/>
    <col min="7" max="8" width="13" bestFit="1" customWidth="1"/>
    <col min="9" max="9" width="9.7109375" bestFit="1" customWidth="1"/>
    <col min="10" max="10" width="11.5703125" bestFit="1" customWidth="1"/>
    <col min="11" max="11" width="10.140625" customWidth="1"/>
    <col min="12" max="12" width="13.140625" bestFit="1" customWidth="1"/>
  </cols>
  <sheetData>
    <row r="1" spans="1:19" ht="29.25" customHeight="1" thickBot="1" x14ac:dyDescent="0.3">
      <c r="A1" s="838" t="str">
        <f>Total!C8</f>
        <v>LEMANCEAU_COURT</v>
      </c>
      <c r="B1" s="838"/>
      <c r="C1" s="838"/>
      <c r="D1" s="838"/>
      <c r="E1" s="838"/>
      <c r="F1" s="838"/>
      <c r="G1" s="838"/>
      <c r="H1" s="838"/>
      <c r="I1" s="838"/>
      <c r="J1" s="838"/>
      <c r="K1" s="838"/>
      <c r="L1" s="838"/>
      <c r="M1" s="838"/>
      <c r="N1" s="838"/>
      <c r="O1" s="838"/>
      <c r="P1" s="838"/>
      <c r="Q1" s="838"/>
      <c r="R1" s="838"/>
      <c r="S1" s="838"/>
    </row>
    <row r="2" spans="1:19" ht="15" customHeight="1" x14ac:dyDescent="0.25">
      <c r="B2" s="778" t="s">
        <v>82</v>
      </c>
      <c r="C2" s="779"/>
      <c r="D2" s="779"/>
      <c r="E2" s="779"/>
      <c r="F2" s="779"/>
      <c r="G2" s="779"/>
      <c r="H2" s="779"/>
      <c r="I2" s="779"/>
      <c r="J2" s="779"/>
      <c r="K2" s="779"/>
      <c r="L2" s="780"/>
    </row>
    <row r="3" spans="1:19" ht="15.75" customHeight="1" thickBot="1" x14ac:dyDescent="0.3">
      <c r="B3" s="870"/>
      <c r="C3" s="782"/>
      <c r="D3" s="782"/>
      <c r="E3" s="782"/>
      <c r="F3" s="782"/>
      <c r="G3" s="782"/>
      <c r="H3" s="782"/>
      <c r="I3" s="782"/>
      <c r="J3" s="782"/>
      <c r="K3" s="782"/>
      <c r="L3" s="783"/>
    </row>
    <row r="4" spans="1:19" ht="15.75" thickBot="1" x14ac:dyDescent="0.3">
      <c r="B4" s="367"/>
      <c r="C4" s="786" t="s">
        <v>112</v>
      </c>
      <c r="D4" s="786"/>
      <c r="E4" s="786"/>
      <c r="F4" s="786"/>
      <c r="G4" s="787"/>
      <c r="H4" s="785" t="s">
        <v>157</v>
      </c>
      <c r="I4" s="786"/>
      <c r="J4" s="786"/>
      <c r="K4" s="786"/>
      <c r="L4" s="787"/>
    </row>
    <row r="5" spans="1:19" ht="15.75" thickBot="1" x14ac:dyDescent="0.3">
      <c r="B5" s="367" t="s">
        <v>215</v>
      </c>
      <c r="C5" s="357" t="str">
        <f>Total!D4</f>
        <v>SEPM</v>
      </c>
      <c r="D5" s="183" t="str">
        <f>Total!E4</f>
        <v>BOP</v>
      </c>
      <c r="E5" s="183" t="str">
        <f>Total!F4</f>
        <v>PEU_DÉROULAGE</v>
      </c>
      <c r="F5" s="183" t="str">
        <f>Total!G4</f>
        <v>PET</v>
      </c>
      <c r="G5" s="353" t="str">
        <f>Total!K4</f>
        <v>-</v>
      </c>
      <c r="H5" s="357" t="str">
        <f>Total!L4</f>
        <v>SEPM</v>
      </c>
      <c r="I5" s="183" t="str">
        <f>Total!M4</f>
        <v>BOP</v>
      </c>
      <c r="J5" s="183" t="str">
        <f>Total!N4</f>
        <v>PEU_DÉROULAGE</v>
      </c>
      <c r="K5" s="183" t="str">
        <f>Total!O4</f>
        <v>PET</v>
      </c>
      <c r="L5" s="353" t="str">
        <f>Total!S4</f>
        <v>-</v>
      </c>
    </row>
    <row r="6" spans="1:19" x14ac:dyDescent="0.25">
      <c r="B6" s="27" t="s">
        <v>185</v>
      </c>
      <c r="C6" s="73">
        <f>Total!D5</f>
        <v>11000</v>
      </c>
      <c r="D6" s="70">
        <f>Total!E5</f>
        <v>2000</v>
      </c>
      <c r="E6" s="70">
        <f>Total!F5</f>
        <v>266</v>
      </c>
      <c r="F6" s="70">
        <f>Total!G5</f>
        <v>2500</v>
      </c>
      <c r="G6" s="286">
        <f>Total!K5</f>
        <v>0</v>
      </c>
      <c r="H6" s="85">
        <f>Total!L5</f>
        <v>11000</v>
      </c>
      <c r="I6" s="70">
        <f>Total!M5</f>
        <v>2000</v>
      </c>
      <c r="J6" s="70">
        <f>Total!N5</f>
        <v>266</v>
      </c>
      <c r="K6" s="70">
        <f>Total!O5</f>
        <v>2500</v>
      </c>
      <c r="L6" s="71">
        <f>Total!S5</f>
        <v>0</v>
      </c>
    </row>
    <row r="7" spans="1:19" x14ac:dyDescent="0.25">
      <c r="B7" s="25" t="s">
        <v>199</v>
      </c>
      <c r="C7" s="133"/>
      <c r="D7" s="54"/>
      <c r="E7" s="381"/>
      <c r="F7" s="381"/>
      <c r="G7" s="384"/>
      <c r="H7" s="382"/>
      <c r="I7" s="52"/>
      <c r="J7" s="52"/>
      <c r="K7" s="52"/>
      <c r="L7" s="17"/>
    </row>
    <row r="8" spans="1:19" s="10" customFormat="1" x14ac:dyDescent="0.25">
      <c r="B8" s="126" t="s">
        <v>219</v>
      </c>
      <c r="C8" s="135">
        <f>C6-C7</f>
        <v>11000</v>
      </c>
      <c r="D8" s="75">
        <f t="shared" ref="D8:L8" si="0">D6-D7</f>
        <v>2000</v>
      </c>
      <c r="E8" s="75">
        <f t="shared" si="0"/>
        <v>266</v>
      </c>
      <c r="F8" s="75">
        <f t="shared" si="0"/>
        <v>2500</v>
      </c>
      <c r="G8" s="287">
        <f t="shared" si="0"/>
        <v>0</v>
      </c>
      <c r="H8" s="270">
        <f t="shared" si="0"/>
        <v>11000</v>
      </c>
      <c r="I8" s="75">
        <f t="shared" si="0"/>
        <v>2000</v>
      </c>
      <c r="J8" s="75">
        <f t="shared" si="0"/>
        <v>266</v>
      </c>
      <c r="K8" s="75">
        <f t="shared" si="0"/>
        <v>2500</v>
      </c>
      <c r="L8" s="76">
        <f t="shared" si="0"/>
        <v>0</v>
      </c>
    </row>
    <row r="9" spans="1:19" s="10" customFormat="1" ht="15.75" thickBot="1" x14ac:dyDescent="0.3">
      <c r="B9" s="127" t="s">
        <v>217</v>
      </c>
      <c r="C9" s="389">
        <f>C8/C6</f>
        <v>1</v>
      </c>
      <c r="D9" s="386">
        <f t="shared" ref="D9:L9" si="1">D8/D6</f>
        <v>1</v>
      </c>
      <c r="E9" s="386">
        <f t="shared" si="1"/>
        <v>1</v>
      </c>
      <c r="F9" s="386">
        <f t="shared" si="1"/>
        <v>1</v>
      </c>
      <c r="G9" s="388" t="e">
        <f t="shared" si="1"/>
        <v>#DIV/0!</v>
      </c>
      <c r="H9" s="385">
        <f t="shared" si="1"/>
        <v>1</v>
      </c>
      <c r="I9" s="386">
        <f t="shared" si="1"/>
        <v>1</v>
      </c>
      <c r="J9" s="386">
        <f t="shared" si="1"/>
        <v>1</v>
      </c>
      <c r="K9" s="386">
        <f t="shared" si="1"/>
        <v>1</v>
      </c>
      <c r="L9" s="387" t="e">
        <f t="shared" si="1"/>
        <v>#DIV/0!</v>
      </c>
    </row>
    <row r="10" spans="1:19" ht="15.75" thickBot="1" x14ac:dyDescent="0.3">
      <c r="D10" s="10"/>
      <c r="E10" s="10"/>
      <c r="F10" s="10"/>
      <c r="G10" s="10"/>
      <c r="H10" s="10"/>
      <c r="I10" s="10"/>
    </row>
    <row r="11" spans="1:19" x14ac:dyDescent="0.25">
      <c r="D11" s="778" t="s">
        <v>151</v>
      </c>
      <c r="E11" s="779"/>
      <c r="F11" s="779"/>
      <c r="G11" s="779"/>
      <c r="H11" s="779"/>
      <c r="I11" s="780"/>
    </row>
    <row r="12" spans="1:19" ht="15.75" thickBot="1" x14ac:dyDescent="0.3">
      <c r="D12" s="781"/>
      <c r="E12" s="782"/>
      <c r="F12" s="782"/>
      <c r="G12" s="782"/>
      <c r="H12" s="850"/>
      <c r="I12" s="857"/>
    </row>
    <row r="13" spans="1:19" ht="15.75" thickBot="1" x14ac:dyDescent="0.3">
      <c r="D13" s="277" t="s">
        <v>1</v>
      </c>
      <c r="E13" s="307" t="s">
        <v>3</v>
      </c>
      <c r="F13" s="317" t="s">
        <v>185</v>
      </c>
      <c r="G13" s="318" t="s">
        <v>186</v>
      </c>
      <c r="H13" s="15" t="s">
        <v>187</v>
      </c>
      <c r="I13" s="15" t="s">
        <v>196</v>
      </c>
    </row>
    <row r="14" spans="1:19" ht="15.75" thickBot="1" x14ac:dyDescent="0.3">
      <c r="D14" s="795" t="s">
        <v>151</v>
      </c>
      <c r="E14" s="306" t="s">
        <v>188</v>
      </c>
      <c r="F14" s="330">
        <f>SUM(C6:L6)</f>
        <v>31532</v>
      </c>
      <c r="G14" s="407"/>
      <c r="H14" s="378">
        <f>SUM(C8:L8)</f>
        <v>31532</v>
      </c>
      <c r="I14" s="338">
        <f t="shared" ref="I14:I20" si="2">H14/F14</f>
        <v>1</v>
      </c>
    </row>
    <row r="15" spans="1:19" x14ac:dyDescent="0.25">
      <c r="D15" s="805"/>
      <c r="E15" s="298" t="s">
        <v>189</v>
      </c>
      <c r="F15" s="332">
        <f>'Surveillance Transport'!I8+Chargement!X18</f>
        <v>20.625327053898477</v>
      </c>
      <c r="G15" s="333"/>
      <c r="H15" s="336">
        <f t="shared" ref="H15:H20" si="3">F15-G15</f>
        <v>20.625327053898477</v>
      </c>
      <c r="I15" s="342">
        <f t="shared" si="2"/>
        <v>1</v>
      </c>
    </row>
    <row r="16" spans="1:19" x14ac:dyDescent="0.25">
      <c r="D16" s="805"/>
      <c r="E16" s="298" t="s">
        <v>216</v>
      </c>
      <c r="F16" s="331">
        <f>Chargement!AA11*Chargement!AA12</f>
        <v>0</v>
      </c>
      <c r="G16" s="325"/>
      <c r="H16" s="285">
        <f t="shared" si="3"/>
        <v>0</v>
      </c>
      <c r="I16" s="342" t="e">
        <f t="shared" si="2"/>
        <v>#DIV/0!</v>
      </c>
    </row>
    <row r="17" spans="4:9" x14ac:dyDescent="0.25">
      <c r="D17" s="805"/>
      <c r="E17" s="298" t="s">
        <v>203</v>
      </c>
      <c r="F17" s="331">
        <f>Chargement!AA18</f>
        <v>0</v>
      </c>
      <c r="G17" s="325"/>
      <c r="H17" s="285">
        <f t="shared" si="3"/>
        <v>0</v>
      </c>
      <c r="I17" s="342" t="e">
        <f t="shared" si="2"/>
        <v>#DIV/0!</v>
      </c>
    </row>
    <row r="18" spans="4:9" x14ac:dyDescent="0.25">
      <c r="D18" s="805"/>
      <c r="E18" s="298" t="s">
        <v>221</v>
      </c>
      <c r="F18" s="331">
        <f>Chargement!AA24</f>
        <v>0</v>
      </c>
      <c r="G18" s="325"/>
      <c r="H18" s="285">
        <f t="shared" si="3"/>
        <v>0</v>
      </c>
      <c r="I18" s="342" t="e">
        <f t="shared" si="2"/>
        <v>#DIV/0!</v>
      </c>
    </row>
    <row r="19" spans="4:9" ht="15.75" thickBot="1" x14ac:dyDescent="0.3">
      <c r="D19" s="805"/>
      <c r="E19" s="126" t="s">
        <v>195</v>
      </c>
      <c r="F19" s="331">
        <f>'Entretient de chemin'!D11*'Entretient de chemin'!H5</f>
        <v>42870.907200000001</v>
      </c>
      <c r="G19" s="325"/>
      <c r="H19" s="285">
        <f t="shared" si="3"/>
        <v>42870.907200000001</v>
      </c>
      <c r="I19" s="342">
        <f t="shared" si="2"/>
        <v>1</v>
      </c>
    </row>
    <row r="20" spans="4:9" ht="15.75" thickBot="1" x14ac:dyDescent="0.3">
      <c r="D20" s="806"/>
      <c r="E20" s="297" t="s">
        <v>197</v>
      </c>
      <c r="F20" s="335" t="e">
        <f>Total!U56</f>
        <v>#DIV/0!</v>
      </c>
      <c r="G20" s="339"/>
      <c r="H20" s="337" t="e">
        <f t="shared" si="3"/>
        <v>#DIV/0!</v>
      </c>
      <c r="I20" s="343" t="e">
        <f t="shared" si="2"/>
        <v>#DIV/0!</v>
      </c>
    </row>
  </sheetData>
  <mergeCells count="6">
    <mergeCell ref="B2:L3"/>
    <mergeCell ref="A1:S1"/>
    <mergeCell ref="D11:I12"/>
    <mergeCell ref="D14:D20"/>
    <mergeCell ref="C4:G4"/>
    <mergeCell ref="H4:L4"/>
  </mergeCells>
  <conditionalFormatting sqref="I15:I20">
    <cfRule type="cellIs" dxfId="0" priority="1" operator="lessThan">
      <formula>$I$14</formula>
    </cfRule>
  </conditionalFormatting>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4"/>
  <sheetViews>
    <sheetView zoomScaleNormal="100" workbookViewId="0">
      <selection activeCell="E11" sqref="E11:E13"/>
    </sheetView>
  </sheetViews>
  <sheetFormatPr baseColWidth="10" defaultRowHeight="15" x14ac:dyDescent="0.25"/>
  <cols>
    <col min="2" max="2" width="15.5703125" customWidth="1"/>
    <col min="4" max="4" width="32.7109375" bestFit="1" customWidth="1"/>
    <col min="5" max="5" width="17.85546875" bestFit="1" customWidth="1"/>
    <col min="6" max="7" width="12.85546875" bestFit="1" customWidth="1"/>
    <col min="8" max="8" width="28.5703125" bestFit="1" customWidth="1"/>
    <col min="9" max="9" width="17.140625" bestFit="1" customWidth="1"/>
    <col min="10" max="10" width="21.85546875" customWidth="1"/>
  </cols>
  <sheetData>
    <row r="1" spans="1:9" x14ac:dyDescent="0.25">
      <c r="D1" t="s">
        <v>372</v>
      </c>
    </row>
    <row r="3" spans="1:9" x14ac:dyDescent="0.25">
      <c r="D3" s="903" t="s">
        <v>373</v>
      </c>
      <c r="E3" s="903"/>
      <c r="F3" s="903"/>
    </row>
    <row r="6" spans="1:9" x14ac:dyDescent="0.25">
      <c r="A6" t="s">
        <v>374</v>
      </c>
      <c r="B6" t="s">
        <v>399</v>
      </c>
    </row>
    <row r="8" spans="1:9" x14ac:dyDescent="0.25">
      <c r="A8" t="s">
        <v>375</v>
      </c>
      <c r="E8" t="s">
        <v>376</v>
      </c>
      <c r="H8" t="s">
        <v>426</v>
      </c>
    </row>
    <row r="10" spans="1:9" x14ac:dyDescent="0.25">
      <c r="A10" t="s">
        <v>377</v>
      </c>
      <c r="E10" t="s">
        <v>386</v>
      </c>
      <c r="G10" t="s">
        <v>387</v>
      </c>
      <c r="H10" t="s">
        <v>388</v>
      </c>
      <c r="I10" t="s">
        <v>389</v>
      </c>
    </row>
    <row r="11" spans="1:9" x14ac:dyDescent="0.25">
      <c r="A11" s="700" t="s">
        <v>378</v>
      </c>
      <c r="B11" s="700"/>
      <c r="E11">
        <v>3.9950000000000001</v>
      </c>
      <c r="F11" t="s">
        <v>390</v>
      </c>
      <c r="G11">
        <v>1000</v>
      </c>
      <c r="H11" s="690">
        <f>E11*G11</f>
        <v>3995</v>
      </c>
      <c r="I11" s="690">
        <f>H11</f>
        <v>3995</v>
      </c>
    </row>
    <row r="12" spans="1:9" x14ac:dyDescent="0.25">
      <c r="A12" s="701" t="s">
        <v>379</v>
      </c>
      <c r="B12" s="701"/>
      <c r="E12">
        <v>0.78200000000000003</v>
      </c>
      <c r="F12" t="s">
        <v>390</v>
      </c>
      <c r="G12">
        <v>1500</v>
      </c>
      <c r="H12" s="690">
        <f t="shared" ref="H12:H15" si="0">E12*G12</f>
        <v>1173</v>
      </c>
      <c r="I12" s="690">
        <f>I11+H12</f>
        <v>5168</v>
      </c>
    </row>
    <row r="13" spans="1:9" x14ac:dyDescent="0.25">
      <c r="A13" s="702" t="s">
        <v>380</v>
      </c>
      <c r="B13" s="702"/>
      <c r="E13">
        <v>1.3029999999999999</v>
      </c>
      <c r="F13" t="s">
        <v>390</v>
      </c>
      <c r="G13">
        <v>3500</v>
      </c>
      <c r="H13" s="690">
        <f t="shared" si="0"/>
        <v>4560.5</v>
      </c>
      <c r="I13" s="690">
        <f>I12+H13</f>
        <v>9728.5</v>
      </c>
    </row>
    <row r="14" spans="1:9" x14ac:dyDescent="0.25">
      <c r="A14" s="703" t="s">
        <v>381</v>
      </c>
      <c r="B14" s="703"/>
      <c r="C14" s="703"/>
      <c r="E14">
        <v>0</v>
      </c>
      <c r="F14" t="s">
        <v>390</v>
      </c>
      <c r="G14">
        <v>4500</v>
      </c>
      <c r="H14" s="690">
        <f t="shared" si="0"/>
        <v>0</v>
      </c>
      <c r="I14" s="690">
        <f>I13+H14</f>
        <v>9728.5</v>
      </c>
    </row>
    <row r="15" spans="1:9" x14ac:dyDescent="0.25">
      <c r="A15" s="704" t="s">
        <v>382</v>
      </c>
      <c r="B15" s="704"/>
      <c r="E15">
        <v>3.2730000000000001</v>
      </c>
      <c r="F15" t="s">
        <v>390</v>
      </c>
      <c r="G15">
        <v>7000</v>
      </c>
      <c r="H15" s="690">
        <f t="shared" si="0"/>
        <v>22911</v>
      </c>
      <c r="I15" s="690">
        <f>I14+H15</f>
        <v>32639.5</v>
      </c>
    </row>
    <row r="16" spans="1:9" x14ac:dyDescent="0.25">
      <c r="A16" t="s">
        <v>383</v>
      </c>
    </row>
    <row r="17" spans="1:10" ht="15.75" thickBot="1" x14ac:dyDescent="0.3">
      <c r="A17" t="s">
        <v>384</v>
      </c>
      <c r="E17" s="695"/>
    </row>
    <row r="18" spans="1:10" x14ac:dyDescent="0.25">
      <c r="E18" s="521">
        <f>SUM(E11:E17)</f>
        <v>9.3529999999999998</v>
      </c>
      <c r="H18" s="694">
        <f>SUM(H11:H15)</f>
        <v>32639.5</v>
      </c>
      <c r="I18" s="694">
        <v>32639.5</v>
      </c>
    </row>
    <row r="19" spans="1:10" x14ac:dyDescent="0.25">
      <c r="A19" s="10" t="s">
        <v>385</v>
      </c>
      <c r="H19" s="690">
        <v>0</v>
      </c>
    </row>
    <row r="20" spans="1:10" x14ac:dyDescent="0.25">
      <c r="A20" s="10" t="s">
        <v>397</v>
      </c>
      <c r="B20" s="10"/>
      <c r="C20" s="60"/>
      <c r="D20" s="696"/>
      <c r="E20" s="10"/>
      <c r="F20" s="10"/>
      <c r="G20" s="10"/>
      <c r="H20" s="690">
        <v>5242.0600000000004</v>
      </c>
      <c r="I20" s="473"/>
      <c r="J20" s="10"/>
    </row>
    <row r="21" spans="1:10" ht="15.75" thickBot="1" x14ac:dyDescent="0.3">
      <c r="A21" s="10" t="s">
        <v>398</v>
      </c>
      <c r="B21" s="10"/>
      <c r="C21" s="10"/>
      <c r="D21" s="10"/>
      <c r="E21" s="10"/>
      <c r="F21" s="10"/>
      <c r="G21" s="10"/>
      <c r="H21" s="690">
        <f>SUM(H18:H20)</f>
        <v>37881.56</v>
      </c>
      <c r="I21" s="473"/>
      <c r="J21" s="10"/>
    </row>
    <row r="22" spans="1:10" ht="15.75" thickBot="1" x14ac:dyDescent="0.3">
      <c r="A22" s="800" t="s">
        <v>243</v>
      </c>
      <c r="B22" s="785" t="s">
        <v>240</v>
      </c>
      <c r="C22" s="786"/>
      <c r="D22" s="786"/>
      <c r="E22" s="786"/>
      <c r="F22" s="786"/>
      <c r="G22" s="786"/>
      <c r="H22" s="786"/>
      <c r="I22" s="786"/>
      <c r="J22" s="787"/>
    </row>
    <row r="23" spans="1:10" ht="15.75" thickBot="1" x14ac:dyDescent="0.3">
      <c r="A23" s="797"/>
      <c r="B23" s="489" t="s">
        <v>238</v>
      </c>
      <c r="C23" s="490" t="s">
        <v>239</v>
      </c>
      <c r="D23" s="490" t="s">
        <v>393</v>
      </c>
      <c r="E23" s="491" t="s">
        <v>246</v>
      </c>
      <c r="F23" s="491" t="s">
        <v>247</v>
      </c>
      <c r="G23" s="492" t="s">
        <v>257</v>
      </c>
      <c r="H23" s="492" t="s">
        <v>258</v>
      </c>
      <c r="I23" s="491" t="s">
        <v>249</v>
      </c>
      <c r="J23" s="493" t="s">
        <v>250</v>
      </c>
    </row>
    <row r="24" spans="1:10" x14ac:dyDescent="0.25">
      <c r="A24" s="796" t="s">
        <v>244</v>
      </c>
      <c r="B24" s="449">
        <v>0</v>
      </c>
      <c r="C24" s="52">
        <v>0</v>
      </c>
      <c r="D24" s="52">
        <v>0</v>
      </c>
      <c r="E24" s="413">
        <v>0</v>
      </c>
      <c r="F24" s="413">
        <v>0</v>
      </c>
      <c r="G24" s="413"/>
      <c r="H24" s="413"/>
      <c r="I24" s="698">
        <f t="shared" ref="I24" si="1">E24*F24*C24</f>
        <v>0</v>
      </c>
      <c r="J24" s="699">
        <f t="shared" ref="J24" si="2">E24*F24*D24</f>
        <v>0</v>
      </c>
    </row>
    <row r="25" spans="1:10" x14ac:dyDescent="0.25">
      <c r="A25" s="796"/>
      <c r="B25" s="446"/>
      <c r="C25" s="52"/>
      <c r="D25" s="52"/>
      <c r="E25" s="413"/>
      <c r="F25" s="413"/>
      <c r="G25" s="413"/>
      <c r="H25" s="413"/>
      <c r="I25" s="458"/>
      <c r="J25" s="460"/>
    </row>
    <row r="26" spans="1:10" x14ac:dyDescent="0.25">
      <c r="A26" s="796"/>
      <c r="B26" s="446"/>
      <c r="C26" s="52"/>
      <c r="D26" s="52"/>
      <c r="E26" s="413"/>
      <c r="F26" s="413"/>
      <c r="G26" s="413"/>
      <c r="H26" s="413"/>
      <c r="I26" s="458"/>
      <c r="J26" s="460"/>
    </row>
    <row r="27" spans="1:10" ht="15.75" thickBot="1" x14ac:dyDescent="0.3">
      <c r="A27" s="797"/>
      <c r="B27" s="500"/>
      <c r="C27" s="450"/>
      <c r="D27" s="450"/>
      <c r="E27" s="456"/>
      <c r="F27" s="456"/>
      <c r="G27" s="456"/>
      <c r="H27" s="456"/>
      <c r="I27" s="459"/>
      <c r="J27" s="461"/>
    </row>
    <row r="28" spans="1:10" hidden="1" x14ac:dyDescent="0.25">
      <c r="A28" s="800" t="s">
        <v>244</v>
      </c>
      <c r="B28" s="32"/>
      <c r="C28" s="454"/>
      <c r="D28" s="454"/>
      <c r="E28" s="494"/>
      <c r="F28" s="494"/>
      <c r="G28" s="494"/>
      <c r="H28" s="494"/>
      <c r="I28" s="495"/>
      <c r="J28" s="496"/>
    </row>
    <row r="29" spans="1:10" hidden="1" x14ac:dyDescent="0.25">
      <c r="A29" s="796"/>
      <c r="B29" s="446"/>
      <c r="C29" s="52"/>
      <c r="D29" s="52"/>
      <c r="E29" s="413"/>
      <c r="F29" s="413"/>
      <c r="G29" s="413"/>
      <c r="H29" s="413"/>
      <c r="I29" s="458"/>
      <c r="J29" s="460"/>
    </row>
    <row r="30" spans="1:10" hidden="1" x14ac:dyDescent="0.25">
      <c r="A30" s="796"/>
      <c r="B30" s="446"/>
      <c r="C30" s="52"/>
      <c r="D30" s="52"/>
      <c r="E30" s="413"/>
      <c r="F30" s="413"/>
      <c r="G30" s="413"/>
      <c r="H30" s="413"/>
      <c r="I30" s="458"/>
      <c r="J30" s="460"/>
    </row>
    <row r="31" spans="1:10" hidden="1" x14ac:dyDescent="0.25">
      <c r="A31" s="796"/>
      <c r="B31" s="446"/>
      <c r="C31" s="52"/>
      <c r="D31" s="52"/>
      <c r="E31" s="413"/>
      <c r="F31" s="413"/>
      <c r="G31" s="413"/>
      <c r="H31" s="413"/>
      <c r="I31" s="458"/>
      <c r="J31" s="460"/>
    </row>
    <row r="32" spans="1:10" hidden="1" x14ac:dyDescent="0.25">
      <c r="A32" s="796"/>
      <c r="B32" s="446"/>
      <c r="C32" s="52"/>
      <c r="D32" s="52"/>
      <c r="E32" s="413"/>
      <c r="F32" s="413"/>
      <c r="G32" s="413"/>
      <c r="H32" s="413"/>
      <c r="I32" s="458"/>
      <c r="J32" s="460"/>
    </row>
    <row r="33" spans="1:10" hidden="1" x14ac:dyDescent="0.25">
      <c r="A33" s="796"/>
      <c r="B33" s="446"/>
      <c r="C33" s="52"/>
      <c r="D33" s="52"/>
      <c r="E33" s="413"/>
      <c r="F33" s="413"/>
      <c r="G33" s="413"/>
      <c r="H33" s="413"/>
      <c r="I33" s="458"/>
      <c r="J33" s="460"/>
    </row>
    <row r="34" spans="1:10" hidden="1" x14ac:dyDescent="0.25">
      <c r="A34" s="796"/>
      <c r="B34" s="446"/>
      <c r="C34" s="52"/>
      <c r="D34" s="52"/>
      <c r="E34" s="413"/>
      <c r="F34" s="413"/>
      <c r="G34" s="413"/>
      <c r="H34" s="413"/>
      <c r="I34" s="458"/>
      <c r="J34" s="460"/>
    </row>
    <row r="35" spans="1:10" hidden="1" x14ac:dyDescent="0.25">
      <c r="A35" s="796"/>
      <c r="B35" s="446"/>
      <c r="C35" s="52"/>
      <c r="D35" s="52"/>
      <c r="E35" s="413"/>
      <c r="F35" s="413"/>
      <c r="G35" s="413"/>
      <c r="H35" s="413"/>
      <c r="I35" s="458"/>
      <c r="J35" s="460"/>
    </row>
    <row r="36" spans="1:10" hidden="1" x14ac:dyDescent="0.25">
      <c r="A36" s="796"/>
      <c r="B36" s="449"/>
      <c r="C36" s="52"/>
      <c r="D36" s="52"/>
      <c r="E36" s="413"/>
      <c r="F36" s="413"/>
      <c r="G36" s="413"/>
      <c r="H36" s="413"/>
      <c r="I36" s="458"/>
      <c r="J36" s="460"/>
    </row>
    <row r="37" spans="1:10" hidden="1" x14ac:dyDescent="0.25">
      <c r="A37" s="796"/>
      <c r="B37" s="449"/>
      <c r="C37" s="52"/>
      <c r="D37" s="52"/>
      <c r="E37" s="413"/>
      <c r="F37" s="413"/>
      <c r="G37" s="413"/>
      <c r="H37" s="413"/>
      <c r="I37" s="458"/>
      <c r="J37" s="460"/>
    </row>
    <row r="38" spans="1:10" hidden="1" x14ac:dyDescent="0.25">
      <c r="A38" s="796"/>
      <c r="B38" s="449"/>
      <c r="C38" s="52"/>
      <c r="D38" s="52"/>
      <c r="E38" s="413"/>
      <c r="F38" s="413"/>
      <c r="G38" s="413"/>
      <c r="H38" s="413"/>
      <c r="I38" s="458"/>
      <c r="J38" s="460"/>
    </row>
    <row r="39" spans="1:10" hidden="1" x14ac:dyDescent="0.25">
      <c r="A39" s="796"/>
      <c r="B39" s="449"/>
      <c r="C39" s="52"/>
      <c r="D39" s="52"/>
      <c r="E39" s="413"/>
      <c r="F39" s="413"/>
      <c r="G39" s="413"/>
      <c r="H39" s="413"/>
      <c r="I39" s="458"/>
      <c r="J39" s="460"/>
    </row>
    <row r="40" spans="1:10" hidden="1" x14ac:dyDescent="0.25">
      <c r="A40" s="796"/>
      <c r="B40" s="449"/>
      <c r="C40" s="52"/>
      <c r="D40" s="52"/>
      <c r="E40" s="413"/>
      <c r="F40" s="413"/>
      <c r="G40" s="413"/>
      <c r="H40" s="413"/>
      <c r="I40" s="458"/>
      <c r="J40" s="460"/>
    </row>
    <row r="41" spans="1:10" hidden="1" x14ac:dyDescent="0.25">
      <c r="A41" s="796"/>
      <c r="B41" s="449"/>
      <c r="C41" s="52"/>
      <c r="D41" s="52"/>
      <c r="E41" s="413"/>
      <c r="F41" s="413"/>
      <c r="G41" s="413"/>
      <c r="H41" s="413"/>
      <c r="I41" s="458"/>
      <c r="J41" s="460"/>
    </row>
    <row r="42" spans="1:10" hidden="1" x14ac:dyDescent="0.25">
      <c r="A42" s="796"/>
      <c r="B42" s="449"/>
      <c r="C42" s="52"/>
      <c r="D42" s="52"/>
      <c r="E42" s="413"/>
      <c r="F42" s="413"/>
      <c r="G42" s="413"/>
      <c r="H42" s="413"/>
      <c r="I42" s="458"/>
      <c r="J42" s="460"/>
    </row>
    <row r="43" spans="1:10" hidden="1" x14ac:dyDescent="0.25">
      <c r="A43" s="796"/>
      <c r="B43" s="449"/>
      <c r="C43" s="52"/>
      <c r="D43" s="52"/>
      <c r="E43" s="413"/>
      <c r="F43" s="413"/>
      <c r="G43" s="413"/>
      <c r="H43" s="413"/>
      <c r="I43" s="458"/>
      <c r="J43" s="460"/>
    </row>
    <row r="44" spans="1:10" hidden="1" x14ac:dyDescent="0.25">
      <c r="A44" s="796"/>
      <c r="B44" s="449"/>
      <c r="C44" s="52"/>
      <c r="D44" s="52"/>
      <c r="E44" s="413"/>
      <c r="F44" s="413"/>
      <c r="G44" s="413"/>
      <c r="H44" s="413"/>
      <c r="I44" s="458"/>
      <c r="J44" s="460"/>
    </row>
    <row r="45" spans="1:10" hidden="1" x14ac:dyDescent="0.25">
      <c r="A45" s="796"/>
      <c r="B45" s="449"/>
      <c r="C45" s="52"/>
      <c r="D45" s="52"/>
      <c r="E45" s="413"/>
      <c r="F45" s="413"/>
      <c r="G45" s="413"/>
      <c r="H45" s="413"/>
      <c r="I45" s="458"/>
      <c r="J45" s="460"/>
    </row>
    <row r="46" spans="1:10" hidden="1" x14ac:dyDescent="0.25">
      <c r="A46" s="796"/>
      <c r="B46" s="449"/>
      <c r="C46" s="52"/>
      <c r="D46" s="52"/>
      <c r="E46" s="413"/>
      <c r="F46" s="413"/>
      <c r="G46" s="413"/>
      <c r="H46" s="413"/>
      <c r="I46" s="458"/>
      <c r="J46" s="460"/>
    </row>
    <row r="47" spans="1:10" hidden="1" x14ac:dyDescent="0.25">
      <c r="A47" s="796"/>
      <c r="B47" s="449"/>
      <c r="C47" s="52"/>
      <c r="D47" s="52"/>
      <c r="E47" s="413"/>
      <c r="F47" s="413"/>
      <c r="G47" s="413"/>
      <c r="H47" s="413"/>
      <c r="I47" s="458"/>
      <c r="J47" s="460"/>
    </row>
    <row r="48" spans="1:10" hidden="1" x14ac:dyDescent="0.25">
      <c r="A48" s="796"/>
      <c r="B48" s="449"/>
      <c r="C48" s="52"/>
      <c r="D48" s="52"/>
      <c r="E48" s="413"/>
      <c r="F48" s="413"/>
      <c r="G48" s="413"/>
      <c r="H48" s="413"/>
      <c r="I48" s="458"/>
      <c r="J48" s="460"/>
    </row>
    <row r="49" spans="1:10" s="10" customFormat="1" hidden="1" x14ac:dyDescent="0.25">
      <c r="A49" s="796"/>
      <c r="B49" s="476"/>
      <c r="C49" s="61"/>
      <c r="D49" s="61"/>
      <c r="E49" s="477"/>
      <c r="F49" s="477"/>
      <c r="G49" s="477"/>
      <c r="H49" s="413"/>
      <c r="I49" s="458"/>
      <c r="J49" s="478"/>
    </row>
    <row r="50" spans="1:10" ht="15.75" hidden="1" thickBot="1" x14ac:dyDescent="0.3">
      <c r="A50" s="796"/>
      <c r="B50" s="476"/>
      <c r="C50" s="61"/>
      <c r="D50" s="61"/>
      <c r="E50" s="477"/>
      <c r="F50" s="477"/>
      <c r="G50" s="477"/>
      <c r="H50" s="413"/>
      <c r="I50" s="458"/>
      <c r="J50" s="478"/>
    </row>
    <row r="51" spans="1:10" ht="15.75" thickBot="1" x14ac:dyDescent="0.3">
      <c r="A51" s="28"/>
      <c r="B51" s="890"/>
      <c r="C51" s="890"/>
      <c r="D51" s="890"/>
      <c r="E51" s="890"/>
      <c r="F51" s="891"/>
      <c r="G51" s="689"/>
      <c r="H51" s="689"/>
      <c r="I51" s="697">
        <f>SUM(I24:I50)</f>
        <v>0</v>
      </c>
      <c r="J51" s="697">
        <f>SUM(J24:J50)</f>
        <v>0</v>
      </c>
    </row>
    <row r="52" spans="1:10" x14ac:dyDescent="0.25">
      <c r="B52" t="s">
        <v>394</v>
      </c>
      <c r="I52" s="690">
        <v>250</v>
      </c>
    </row>
    <row r="53" spans="1:10" x14ac:dyDescent="0.25">
      <c r="B53" t="s">
        <v>395</v>
      </c>
      <c r="I53" s="690">
        <f>I51+J51</f>
        <v>0</v>
      </c>
    </row>
    <row r="54" spans="1:10" x14ac:dyDescent="0.25">
      <c r="B54" t="s">
        <v>396</v>
      </c>
      <c r="I54" s="690">
        <f>I53+I52</f>
        <v>250</v>
      </c>
    </row>
  </sheetData>
  <mergeCells count="6">
    <mergeCell ref="B51:F51"/>
    <mergeCell ref="D3:F3"/>
    <mergeCell ref="A22:A23"/>
    <mergeCell ref="B22:J22"/>
    <mergeCell ref="A24:A27"/>
    <mergeCell ref="A28:A50"/>
  </mergeCells>
  <pageMargins left="0.70866141732283472" right="0.70866141732283472" top="0.74803149606299213" bottom="0.74803149606299213" header="0.31496062992125984" footer="0.31496062992125984"/>
  <pageSetup scale="67" orientation="landscape"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view="pageBreakPreview" topLeftCell="E1" zoomScale="60" zoomScaleNormal="100" workbookViewId="0">
      <selection activeCell="L20" sqref="L20"/>
    </sheetView>
  </sheetViews>
  <sheetFormatPr baseColWidth="10" defaultRowHeight="15" x14ac:dyDescent="0.25"/>
  <cols>
    <col min="1" max="1" width="11.42578125" style="10"/>
    <col min="2" max="2" width="15.5703125" style="10" customWidth="1"/>
    <col min="3" max="3" width="11.42578125" style="10"/>
    <col min="4" max="4" width="32.7109375" style="10" bestFit="1" customWidth="1"/>
    <col min="5" max="5" width="17.85546875" style="10" bestFit="1" customWidth="1"/>
    <col min="6" max="7" width="12.85546875" style="10" bestFit="1" customWidth="1"/>
    <col min="8" max="8" width="28.5703125" style="10" bestFit="1" customWidth="1"/>
    <col min="9" max="9" width="17.140625" style="10" bestFit="1" customWidth="1"/>
    <col min="10" max="10" width="21.85546875" style="10" customWidth="1"/>
    <col min="11" max="11" width="11.42578125" style="10"/>
    <col min="12" max="12" width="15.5703125" style="10" bestFit="1" customWidth="1"/>
    <col min="13" max="13" width="11.28515625" style="10" bestFit="1" customWidth="1"/>
    <col min="14" max="14" width="17.7109375" style="10" bestFit="1" customWidth="1"/>
    <col min="15" max="15" width="16.5703125" style="10" bestFit="1" customWidth="1"/>
    <col min="16" max="16" width="16.28515625" style="10" customWidth="1"/>
    <col min="17" max="16384" width="11.42578125" style="10"/>
  </cols>
  <sheetData>
    <row r="1" spans="1:17" x14ac:dyDescent="0.25">
      <c r="D1" s="10" t="s">
        <v>372</v>
      </c>
    </row>
    <row r="3" spans="1:17" x14ac:dyDescent="0.25">
      <c r="D3" s="903" t="s">
        <v>373</v>
      </c>
      <c r="E3" s="903"/>
      <c r="F3" s="903"/>
    </row>
    <row r="6" spans="1:17" x14ac:dyDescent="0.25">
      <c r="A6" s="10" t="s">
        <v>374</v>
      </c>
      <c r="B6" s="10" t="s">
        <v>409</v>
      </c>
    </row>
    <row r="8" spans="1:17" x14ac:dyDescent="0.25">
      <c r="A8" s="10" t="s">
        <v>375</v>
      </c>
      <c r="E8" s="10" t="s">
        <v>376</v>
      </c>
      <c r="H8" s="10" t="s">
        <v>400</v>
      </c>
    </row>
    <row r="9" spans="1:17" ht="15.75" thickBot="1" x14ac:dyDescent="0.3"/>
    <row r="10" spans="1:17" ht="15.75" thickBot="1" x14ac:dyDescent="0.3">
      <c r="A10" s="10" t="s">
        <v>377</v>
      </c>
      <c r="E10" s="10" t="s">
        <v>386</v>
      </c>
      <c r="G10" s="10" t="s">
        <v>387</v>
      </c>
      <c r="H10" s="10" t="s">
        <v>388</v>
      </c>
      <c r="I10" s="10" t="s">
        <v>389</v>
      </c>
      <c r="J10" s="708" t="s">
        <v>412</v>
      </c>
      <c r="K10" s="709" t="s">
        <v>410</v>
      </c>
      <c r="L10" s="709" t="s">
        <v>413</v>
      </c>
      <c r="M10" s="709" t="s">
        <v>411</v>
      </c>
      <c r="N10" s="712" t="s">
        <v>416</v>
      </c>
      <c r="O10" s="709" t="s">
        <v>415</v>
      </c>
      <c r="P10" s="710" t="s">
        <v>414</v>
      </c>
    </row>
    <row r="11" spans="1:17" x14ac:dyDescent="0.25">
      <c r="A11" s="700" t="s">
        <v>378</v>
      </c>
      <c r="B11" s="700"/>
      <c r="E11" s="10">
        <v>1.2</v>
      </c>
      <c r="F11" s="10" t="s">
        <v>390</v>
      </c>
      <c r="G11" s="10">
        <v>1000</v>
      </c>
      <c r="H11" s="690">
        <f>E11*G11</f>
        <v>1200</v>
      </c>
      <c r="I11" s="690">
        <f>H11</f>
        <v>1200</v>
      </c>
      <c r="J11" s="713"/>
      <c r="K11" s="713"/>
      <c r="L11" s="713"/>
      <c r="M11" s="713"/>
      <c r="N11" s="713"/>
      <c r="O11" s="713"/>
      <c r="P11" s="713"/>
    </row>
    <row r="12" spans="1:17" x14ac:dyDescent="0.25">
      <c r="A12" s="701" t="s">
        <v>379</v>
      </c>
      <c r="B12" s="701"/>
      <c r="E12" s="10">
        <v>1.5</v>
      </c>
      <c r="F12" s="10" t="s">
        <v>390</v>
      </c>
      <c r="G12" s="10">
        <v>1500</v>
      </c>
      <c r="H12" s="690">
        <f t="shared" ref="H12:H15" si="0">E12*G12</f>
        <v>2250</v>
      </c>
      <c r="I12" s="690">
        <f>I11+H12</f>
        <v>3450</v>
      </c>
      <c r="J12" s="404"/>
      <c r="K12" s="404"/>
      <c r="L12" s="404"/>
      <c r="M12" s="404"/>
      <c r="N12" s="404"/>
      <c r="O12" s="404"/>
      <c r="P12" s="404"/>
    </row>
    <row r="13" spans="1:17" x14ac:dyDescent="0.25">
      <c r="A13" s="702" t="s">
        <v>380</v>
      </c>
      <c r="B13" s="702"/>
      <c r="E13" s="10">
        <v>0.35</v>
      </c>
      <c r="F13" s="10" t="s">
        <v>390</v>
      </c>
      <c r="G13" s="10">
        <v>3500</v>
      </c>
      <c r="H13" s="690">
        <f t="shared" si="0"/>
        <v>1225</v>
      </c>
      <c r="I13" s="690">
        <f>I12+H13</f>
        <v>4675</v>
      </c>
      <c r="J13" s="404"/>
      <c r="K13" s="404"/>
      <c r="L13" s="404"/>
      <c r="M13" s="404"/>
      <c r="N13" s="404"/>
      <c r="O13" s="404"/>
      <c r="P13" s="404"/>
    </row>
    <row r="14" spans="1:17" x14ac:dyDescent="0.25">
      <c r="A14" s="703" t="s">
        <v>381</v>
      </c>
      <c r="B14" s="703"/>
      <c r="C14" s="703"/>
      <c r="E14" s="10">
        <v>1.5</v>
      </c>
      <c r="F14" s="10" t="s">
        <v>390</v>
      </c>
      <c r="G14" s="10">
        <v>4500</v>
      </c>
      <c r="H14" s="690">
        <f t="shared" si="0"/>
        <v>6750</v>
      </c>
      <c r="I14" s="690">
        <f>I13+H14</f>
        <v>11425</v>
      </c>
      <c r="J14" s="413">
        <v>1.3</v>
      </c>
      <c r="K14" s="413">
        <v>44.25</v>
      </c>
      <c r="L14" s="413">
        <v>118.75</v>
      </c>
      <c r="M14" s="413">
        <f>(K14*L14)+N14</f>
        <v>5607.2075000000004</v>
      </c>
      <c r="N14" s="413">
        <v>352.52</v>
      </c>
      <c r="O14" s="52">
        <f>M14/J14</f>
        <v>4313.2365384615387</v>
      </c>
      <c r="P14" s="714">
        <f>G14-O14</f>
        <v>186.76346153846134</v>
      </c>
      <c r="Q14" s="10" t="s">
        <v>417</v>
      </c>
    </row>
    <row r="15" spans="1:17" x14ac:dyDescent="0.25">
      <c r="A15" s="704" t="s">
        <v>382</v>
      </c>
      <c r="B15" s="704"/>
      <c r="E15" s="10">
        <v>1</v>
      </c>
      <c r="F15" s="10" t="s">
        <v>390</v>
      </c>
      <c r="G15" s="10">
        <v>7000</v>
      </c>
      <c r="H15" s="690">
        <f t="shared" si="0"/>
        <v>7000</v>
      </c>
      <c r="I15" s="690">
        <f>I14+H15</f>
        <v>18425</v>
      </c>
      <c r="J15" s="404"/>
      <c r="K15" s="404"/>
      <c r="L15" s="404"/>
      <c r="M15" s="404"/>
      <c r="N15" s="404"/>
      <c r="O15" s="404"/>
      <c r="P15" s="404"/>
    </row>
    <row r="16" spans="1:17" x14ac:dyDescent="0.25">
      <c r="A16" s="10" t="s">
        <v>383</v>
      </c>
    </row>
    <row r="17" spans="1:10" ht="15.75" thickBot="1" x14ac:dyDescent="0.3">
      <c r="A17" s="10" t="s">
        <v>384</v>
      </c>
      <c r="E17" s="695"/>
      <c r="J17" s="715" t="s">
        <v>418</v>
      </c>
    </row>
    <row r="18" spans="1:10" x14ac:dyDescent="0.25">
      <c r="E18" s="521">
        <f>SUM(E11:E17)</f>
        <v>5.5500000000000007</v>
      </c>
      <c r="H18" s="694">
        <f>SUM(H11:H15)</f>
        <v>18425</v>
      </c>
      <c r="I18" s="694">
        <v>26567</v>
      </c>
    </row>
    <row r="19" spans="1:10" x14ac:dyDescent="0.25">
      <c r="A19" s="10" t="s">
        <v>385</v>
      </c>
      <c r="H19" s="690">
        <f>I54</f>
        <v>1313.17</v>
      </c>
    </row>
    <row r="20" spans="1:10" x14ac:dyDescent="0.25">
      <c r="A20" s="10" t="s">
        <v>397</v>
      </c>
      <c r="C20" s="60"/>
      <c r="D20" s="696"/>
      <c r="I20" s="473"/>
    </row>
    <row r="21" spans="1:10" ht="15.75" thickBot="1" x14ac:dyDescent="0.3">
      <c r="A21" s="10" t="s">
        <v>398</v>
      </c>
      <c r="H21" s="690">
        <f>SUM(H18:H20)</f>
        <v>19738.169999999998</v>
      </c>
      <c r="I21" s="473"/>
    </row>
    <row r="22" spans="1:10" ht="15.75" thickBot="1" x14ac:dyDescent="0.3">
      <c r="A22" s="800" t="s">
        <v>243</v>
      </c>
      <c r="B22" s="785" t="s">
        <v>240</v>
      </c>
      <c r="C22" s="786"/>
      <c r="D22" s="786"/>
      <c r="E22" s="786"/>
      <c r="F22" s="786"/>
      <c r="G22" s="786"/>
      <c r="H22" s="786"/>
      <c r="I22" s="786"/>
      <c r="J22" s="787"/>
    </row>
    <row r="23" spans="1:10" ht="15.75" thickBot="1" x14ac:dyDescent="0.3">
      <c r="A23" s="797"/>
      <c r="B23" s="489" t="s">
        <v>238</v>
      </c>
      <c r="C23" s="490" t="s">
        <v>239</v>
      </c>
      <c r="D23" s="490" t="s">
        <v>393</v>
      </c>
      <c r="E23" s="491" t="s">
        <v>246</v>
      </c>
      <c r="F23" s="491" t="s">
        <v>247</v>
      </c>
      <c r="G23" s="492" t="s">
        <v>257</v>
      </c>
      <c r="H23" s="492" t="s">
        <v>258</v>
      </c>
      <c r="I23" s="491" t="s">
        <v>249</v>
      </c>
      <c r="J23" s="493" t="s">
        <v>250</v>
      </c>
    </row>
    <row r="24" spans="1:10" x14ac:dyDescent="0.25">
      <c r="A24" s="796" t="s">
        <v>244</v>
      </c>
      <c r="B24" s="449">
        <v>600</v>
      </c>
      <c r="C24" s="52">
        <v>67.5</v>
      </c>
      <c r="D24" s="52">
        <v>50.63</v>
      </c>
      <c r="E24" s="413">
        <v>1</v>
      </c>
      <c r="F24" s="413">
        <v>9</v>
      </c>
      <c r="G24" s="413"/>
      <c r="H24" s="413"/>
      <c r="I24" s="698">
        <f t="shared" ref="I24" si="1">E24*F24*C24</f>
        <v>607.5</v>
      </c>
      <c r="J24" s="699">
        <f t="shared" ref="J24" si="2">E24*F24*D24</f>
        <v>455.67</v>
      </c>
    </row>
    <row r="25" spans="1:10" x14ac:dyDescent="0.25">
      <c r="A25" s="796"/>
      <c r="B25" s="446"/>
      <c r="C25" s="52"/>
      <c r="D25" s="52"/>
      <c r="E25" s="413"/>
      <c r="F25" s="413"/>
      <c r="G25" s="413"/>
      <c r="H25" s="413"/>
      <c r="I25" s="458"/>
      <c r="J25" s="460"/>
    </row>
    <row r="26" spans="1:10" x14ac:dyDescent="0.25">
      <c r="A26" s="796"/>
      <c r="B26" s="446"/>
      <c r="C26" s="52"/>
      <c r="D26" s="52"/>
      <c r="E26" s="413"/>
      <c r="F26" s="413"/>
      <c r="G26" s="413"/>
      <c r="H26" s="413"/>
      <c r="I26" s="458"/>
      <c r="J26" s="460"/>
    </row>
    <row r="27" spans="1:10" ht="15.75" thickBot="1" x14ac:dyDescent="0.3">
      <c r="A27" s="797"/>
      <c r="B27" s="500"/>
      <c r="C27" s="450"/>
      <c r="D27" s="450"/>
      <c r="E27" s="456"/>
      <c r="F27" s="456"/>
      <c r="G27" s="456"/>
      <c r="H27" s="456"/>
      <c r="I27" s="459"/>
      <c r="J27" s="461"/>
    </row>
    <row r="28" spans="1:10" ht="15.75" hidden="1" thickBot="1" x14ac:dyDescent="0.3">
      <c r="A28" s="800" t="s">
        <v>244</v>
      </c>
      <c r="B28" s="32"/>
      <c r="C28" s="454"/>
      <c r="D28" s="454"/>
      <c r="E28" s="494"/>
      <c r="F28" s="494"/>
      <c r="G28" s="494"/>
      <c r="H28" s="494"/>
      <c r="I28" s="495"/>
      <c r="J28" s="496"/>
    </row>
    <row r="29" spans="1:10" ht="15.75" hidden="1" thickBot="1" x14ac:dyDescent="0.3">
      <c r="A29" s="796"/>
      <c r="B29" s="446"/>
      <c r="C29" s="52"/>
      <c r="D29" s="52"/>
      <c r="E29" s="413"/>
      <c r="F29" s="413"/>
      <c r="G29" s="413"/>
      <c r="H29" s="413"/>
      <c r="I29" s="458"/>
      <c r="J29" s="460"/>
    </row>
    <row r="30" spans="1:10" ht="15.75" hidden="1" thickBot="1" x14ac:dyDescent="0.3">
      <c r="A30" s="796"/>
      <c r="B30" s="446"/>
      <c r="C30" s="52"/>
      <c r="D30" s="52"/>
      <c r="E30" s="413"/>
      <c r="F30" s="413"/>
      <c r="G30" s="413"/>
      <c r="H30" s="413"/>
      <c r="I30" s="458"/>
      <c r="J30" s="460"/>
    </row>
    <row r="31" spans="1:10" ht="15.75" hidden="1" thickBot="1" x14ac:dyDescent="0.3">
      <c r="A31" s="796"/>
      <c r="B31" s="446"/>
      <c r="C31" s="52"/>
      <c r="D31" s="52"/>
      <c r="E31" s="413"/>
      <c r="F31" s="413"/>
      <c r="G31" s="413"/>
      <c r="H31" s="413"/>
      <c r="I31" s="458"/>
      <c r="J31" s="460"/>
    </row>
    <row r="32" spans="1:10" ht="15.75" hidden="1" thickBot="1" x14ac:dyDescent="0.3">
      <c r="A32" s="796"/>
      <c r="B32" s="446"/>
      <c r="C32" s="52"/>
      <c r="D32" s="52"/>
      <c r="E32" s="413"/>
      <c r="F32" s="413"/>
      <c r="G32" s="413"/>
      <c r="H32" s="413"/>
      <c r="I32" s="458"/>
      <c r="J32" s="460"/>
    </row>
    <row r="33" spans="1:10" ht="15.75" hidden="1" thickBot="1" x14ac:dyDescent="0.3">
      <c r="A33" s="796"/>
      <c r="B33" s="446"/>
      <c r="C33" s="52"/>
      <c r="D33" s="52"/>
      <c r="E33" s="413"/>
      <c r="F33" s="413"/>
      <c r="G33" s="413"/>
      <c r="H33" s="413"/>
      <c r="I33" s="458"/>
      <c r="J33" s="460"/>
    </row>
    <row r="34" spans="1:10" ht="15.75" hidden="1" thickBot="1" x14ac:dyDescent="0.3">
      <c r="A34" s="796"/>
      <c r="B34" s="446"/>
      <c r="C34" s="52"/>
      <c r="D34" s="52"/>
      <c r="E34" s="413"/>
      <c r="F34" s="413"/>
      <c r="G34" s="413"/>
      <c r="H34" s="413"/>
      <c r="I34" s="458"/>
      <c r="J34" s="460"/>
    </row>
    <row r="35" spans="1:10" ht="15.75" hidden="1" thickBot="1" x14ac:dyDescent="0.3">
      <c r="A35" s="796"/>
      <c r="B35" s="446"/>
      <c r="C35" s="52"/>
      <c r="D35" s="52"/>
      <c r="E35" s="413"/>
      <c r="F35" s="413"/>
      <c r="G35" s="413"/>
      <c r="H35" s="413"/>
      <c r="I35" s="458"/>
      <c r="J35" s="460"/>
    </row>
    <row r="36" spans="1:10" ht="15.75" hidden="1" thickBot="1" x14ac:dyDescent="0.3">
      <c r="A36" s="796"/>
      <c r="B36" s="449"/>
      <c r="C36" s="52"/>
      <c r="D36" s="52"/>
      <c r="E36" s="413"/>
      <c r="F36" s="413"/>
      <c r="G36" s="413"/>
      <c r="H36" s="413"/>
      <c r="I36" s="458"/>
      <c r="J36" s="460"/>
    </row>
    <row r="37" spans="1:10" ht="15.75" hidden="1" thickBot="1" x14ac:dyDescent="0.3">
      <c r="A37" s="796"/>
      <c r="B37" s="449"/>
      <c r="C37" s="52"/>
      <c r="D37" s="52"/>
      <c r="E37" s="413"/>
      <c r="F37" s="413"/>
      <c r="G37" s="413"/>
      <c r="H37" s="413"/>
      <c r="I37" s="458"/>
      <c r="J37" s="460"/>
    </row>
    <row r="38" spans="1:10" ht="15.75" hidden="1" thickBot="1" x14ac:dyDescent="0.3">
      <c r="A38" s="796"/>
      <c r="B38" s="449"/>
      <c r="C38" s="52"/>
      <c r="D38" s="52"/>
      <c r="E38" s="413"/>
      <c r="F38" s="413"/>
      <c r="G38" s="413"/>
      <c r="H38" s="413"/>
      <c r="I38" s="458"/>
      <c r="J38" s="460"/>
    </row>
    <row r="39" spans="1:10" ht="15.75" hidden="1" thickBot="1" x14ac:dyDescent="0.3">
      <c r="A39" s="796"/>
      <c r="B39" s="449"/>
      <c r="C39" s="52"/>
      <c r="D39" s="52"/>
      <c r="E39" s="413"/>
      <c r="F39" s="413"/>
      <c r="G39" s="413"/>
      <c r="H39" s="413"/>
      <c r="I39" s="458"/>
      <c r="J39" s="460"/>
    </row>
    <row r="40" spans="1:10" ht="15.75" hidden="1" thickBot="1" x14ac:dyDescent="0.3">
      <c r="A40" s="796"/>
      <c r="B40" s="449"/>
      <c r="C40" s="52"/>
      <c r="D40" s="52"/>
      <c r="E40" s="413"/>
      <c r="F40" s="413"/>
      <c r="G40" s="413"/>
      <c r="H40" s="413"/>
      <c r="I40" s="458"/>
      <c r="J40" s="460"/>
    </row>
    <row r="41" spans="1:10" ht="15.75" hidden="1" thickBot="1" x14ac:dyDescent="0.3">
      <c r="A41" s="796"/>
      <c r="B41" s="449"/>
      <c r="C41" s="52"/>
      <c r="D41" s="52"/>
      <c r="E41" s="413"/>
      <c r="F41" s="413"/>
      <c r="G41" s="413"/>
      <c r="H41" s="413"/>
      <c r="I41" s="458"/>
      <c r="J41" s="460"/>
    </row>
    <row r="42" spans="1:10" ht="15.75" hidden="1" thickBot="1" x14ac:dyDescent="0.3">
      <c r="A42" s="796"/>
      <c r="B42" s="449"/>
      <c r="C42" s="52"/>
      <c r="D42" s="52"/>
      <c r="E42" s="413"/>
      <c r="F42" s="413"/>
      <c r="G42" s="413"/>
      <c r="H42" s="413"/>
      <c r="I42" s="458"/>
      <c r="J42" s="460"/>
    </row>
    <row r="43" spans="1:10" ht="15.75" hidden="1" thickBot="1" x14ac:dyDescent="0.3">
      <c r="A43" s="796"/>
      <c r="B43" s="449"/>
      <c r="C43" s="52"/>
      <c r="D43" s="52"/>
      <c r="E43" s="413"/>
      <c r="F43" s="413"/>
      <c r="G43" s="413"/>
      <c r="H43" s="413"/>
      <c r="I43" s="458"/>
      <c r="J43" s="460"/>
    </row>
    <row r="44" spans="1:10" ht="15.75" hidden="1" thickBot="1" x14ac:dyDescent="0.3">
      <c r="A44" s="796"/>
      <c r="B44" s="449"/>
      <c r="C44" s="52"/>
      <c r="D44" s="52"/>
      <c r="E44" s="413"/>
      <c r="F44" s="413"/>
      <c r="G44" s="413"/>
      <c r="H44" s="413"/>
      <c r="I44" s="458"/>
      <c r="J44" s="460"/>
    </row>
    <row r="45" spans="1:10" ht="15.75" hidden="1" thickBot="1" x14ac:dyDescent="0.3">
      <c r="A45" s="796"/>
      <c r="B45" s="449"/>
      <c r="C45" s="52"/>
      <c r="D45" s="52"/>
      <c r="E45" s="413"/>
      <c r="F45" s="413"/>
      <c r="G45" s="413"/>
      <c r="H45" s="413"/>
      <c r="I45" s="458"/>
      <c r="J45" s="460"/>
    </row>
    <row r="46" spans="1:10" ht="15.75" hidden="1" thickBot="1" x14ac:dyDescent="0.3">
      <c r="A46" s="796"/>
      <c r="B46" s="449"/>
      <c r="C46" s="52"/>
      <c r="D46" s="52"/>
      <c r="E46" s="413"/>
      <c r="F46" s="413"/>
      <c r="G46" s="413"/>
      <c r="H46" s="413"/>
      <c r="I46" s="458"/>
      <c r="J46" s="460"/>
    </row>
    <row r="47" spans="1:10" ht="15.75" hidden="1" thickBot="1" x14ac:dyDescent="0.3">
      <c r="A47" s="796"/>
      <c r="B47" s="449"/>
      <c r="C47" s="52"/>
      <c r="D47" s="52"/>
      <c r="E47" s="413"/>
      <c r="F47" s="413"/>
      <c r="G47" s="413"/>
      <c r="H47" s="413"/>
      <c r="I47" s="458"/>
      <c r="J47" s="460"/>
    </row>
    <row r="48" spans="1:10" ht="15.75" hidden="1" thickBot="1" x14ac:dyDescent="0.3">
      <c r="A48" s="796"/>
      <c r="B48" s="449"/>
      <c r="C48" s="52"/>
      <c r="D48" s="52"/>
      <c r="E48" s="413"/>
      <c r="F48" s="413"/>
      <c r="G48" s="413"/>
      <c r="H48" s="413"/>
      <c r="I48" s="458"/>
      <c r="J48" s="460"/>
    </row>
    <row r="49" spans="1:10" ht="15.75" hidden="1" thickBot="1" x14ac:dyDescent="0.3">
      <c r="A49" s="796"/>
      <c r="B49" s="476"/>
      <c r="C49" s="61"/>
      <c r="D49" s="61"/>
      <c r="E49" s="477"/>
      <c r="F49" s="477"/>
      <c r="G49" s="477"/>
      <c r="H49" s="413"/>
      <c r="I49" s="458"/>
      <c r="J49" s="478"/>
    </row>
    <row r="50" spans="1:10" ht="15.75" hidden="1" thickBot="1" x14ac:dyDescent="0.3">
      <c r="A50" s="796"/>
      <c r="B50" s="476"/>
      <c r="C50" s="61"/>
      <c r="D50" s="61"/>
      <c r="E50" s="477"/>
      <c r="F50" s="477"/>
      <c r="G50" s="477"/>
      <c r="H50" s="413"/>
      <c r="I50" s="458"/>
      <c r="J50" s="478"/>
    </row>
    <row r="51" spans="1:10" ht="15.75" thickBot="1" x14ac:dyDescent="0.3">
      <c r="A51" s="28"/>
      <c r="B51" s="890"/>
      <c r="C51" s="890"/>
      <c r="D51" s="890"/>
      <c r="E51" s="890"/>
      <c r="F51" s="891"/>
      <c r="G51" s="711"/>
      <c r="H51" s="711"/>
      <c r="I51" s="697">
        <f>SUM(I24:I50)</f>
        <v>607.5</v>
      </c>
      <c r="J51" s="697">
        <f>SUM(J24:J50)</f>
        <v>455.67</v>
      </c>
    </row>
    <row r="52" spans="1:10" x14ac:dyDescent="0.25">
      <c r="B52" s="10" t="s">
        <v>394</v>
      </c>
      <c r="I52" s="690">
        <v>250</v>
      </c>
    </row>
    <row r="53" spans="1:10" x14ac:dyDescent="0.25">
      <c r="B53" s="10" t="s">
        <v>395</v>
      </c>
      <c r="I53" s="690">
        <f>I51+J51</f>
        <v>1063.17</v>
      </c>
    </row>
    <row r="54" spans="1:10" x14ac:dyDescent="0.25">
      <c r="B54" s="10" t="s">
        <v>396</v>
      </c>
      <c r="I54" s="690">
        <f>I53+I52</f>
        <v>1313.17</v>
      </c>
    </row>
  </sheetData>
  <mergeCells count="6">
    <mergeCell ref="B51:F51"/>
    <mergeCell ref="D3:F3"/>
    <mergeCell ref="A22:A23"/>
    <mergeCell ref="B22:J22"/>
    <mergeCell ref="A24:A27"/>
    <mergeCell ref="A28:A50"/>
  </mergeCells>
  <pageMargins left="0.70866141732283472" right="0.70866141732283472" top="0.74803149606299213" bottom="0.74803149606299213" header="0.31496062992125984" footer="0.31496062992125984"/>
  <pageSetup paperSize="5" scale="52" orientation="landscape"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8"/>
  <sheetViews>
    <sheetView tabSelected="1" zoomScaleNormal="100" workbookViewId="0">
      <selection activeCell="A2" sqref="A2:J2"/>
    </sheetView>
  </sheetViews>
  <sheetFormatPr baseColWidth="10" defaultRowHeight="15" x14ac:dyDescent="0.25"/>
  <cols>
    <col min="1" max="1" width="11.42578125" style="10"/>
    <col min="2" max="2" width="12" style="10" bestFit="1" customWidth="1"/>
    <col min="3" max="3" width="35" style="10" bestFit="1" customWidth="1"/>
    <col min="4" max="4" width="15.42578125" style="10" bestFit="1" customWidth="1"/>
    <col min="5" max="5" width="16.140625" style="10" bestFit="1" customWidth="1"/>
    <col min="6" max="6" width="15.42578125" style="10" bestFit="1" customWidth="1"/>
    <col min="7" max="7" width="13" style="10" bestFit="1" customWidth="1"/>
    <col min="8" max="8" width="10.28515625" style="10" bestFit="1" customWidth="1"/>
    <col min="9" max="9" width="10.5703125" style="10" customWidth="1"/>
    <col min="10" max="10" width="13.7109375" style="10" customWidth="1"/>
    <col min="11" max="11" width="15.7109375" style="10" bestFit="1" customWidth="1"/>
    <col min="12" max="12" width="17.7109375" style="10" bestFit="1" customWidth="1"/>
    <col min="13" max="15" width="14.140625" style="10" bestFit="1" customWidth="1"/>
    <col min="16" max="16384" width="11.42578125" style="10"/>
  </cols>
  <sheetData>
    <row r="1" spans="1:16" x14ac:dyDescent="0.25">
      <c r="A1" s="10" t="s">
        <v>427</v>
      </c>
      <c r="B1" s="728">
        <v>42608</v>
      </c>
    </row>
    <row r="2" spans="1:16" ht="33" customHeight="1" thickBot="1" x14ac:dyDescent="0.3">
      <c r="A2" s="838" t="s">
        <v>450</v>
      </c>
      <c r="B2" s="838"/>
      <c r="C2" s="838"/>
      <c r="D2" s="838"/>
      <c r="E2" s="838"/>
      <c r="F2" s="838"/>
      <c r="G2" s="838"/>
      <c r="H2" s="838"/>
      <c r="I2" s="838"/>
      <c r="J2" s="838"/>
      <c r="K2" s="11"/>
      <c r="L2" s="11"/>
      <c r="M2" s="11"/>
      <c r="N2" s="11"/>
      <c r="O2" s="11"/>
      <c r="P2" s="11"/>
    </row>
    <row r="3" spans="1:16" ht="15" customHeight="1" x14ac:dyDescent="0.25">
      <c r="B3" s="778" t="s">
        <v>428</v>
      </c>
      <c r="C3" s="779"/>
      <c r="D3" s="779"/>
      <c r="E3" s="779"/>
      <c r="F3" s="779"/>
      <c r="G3" s="779"/>
      <c r="H3" s="779"/>
      <c r="I3" s="779"/>
      <c r="J3" s="780"/>
    </row>
    <row r="4" spans="1:16" ht="15.75" customHeight="1" thickBot="1" x14ac:dyDescent="0.3">
      <c r="B4" s="870"/>
      <c r="C4" s="850"/>
      <c r="D4" s="850"/>
      <c r="E4" s="850"/>
      <c r="F4" s="850"/>
      <c r="G4" s="850"/>
      <c r="H4" s="850"/>
      <c r="I4" s="850"/>
      <c r="J4" s="857"/>
    </row>
    <row r="5" spans="1:16" ht="15.75" thickBot="1" x14ac:dyDescent="0.3">
      <c r="B5" s="368"/>
      <c r="C5" s="786" t="s">
        <v>429</v>
      </c>
      <c r="D5" s="786"/>
      <c r="E5" s="786"/>
      <c r="F5" s="786"/>
      <c r="G5" s="786"/>
      <c r="H5" s="786"/>
      <c r="I5" s="786"/>
      <c r="J5" s="787"/>
    </row>
    <row r="6" spans="1:16" ht="15.75" thickBot="1" x14ac:dyDescent="0.3">
      <c r="B6" s="368" t="s">
        <v>430</v>
      </c>
      <c r="C6" s="721" t="str">
        <f>Total!D4</f>
        <v>SEPM</v>
      </c>
      <c r="D6" s="721" t="str">
        <f>Total!E4</f>
        <v>BOP</v>
      </c>
      <c r="E6" s="721" t="str">
        <f>Total!F4</f>
        <v>PEU_DÉROULAGE</v>
      </c>
      <c r="F6" s="721" t="str">
        <f>Total!G4</f>
        <v>PET</v>
      </c>
      <c r="G6" s="721" t="s">
        <v>451</v>
      </c>
      <c r="H6" s="721" t="str">
        <f>Total!I4</f>
        <v>-</v>
      </c>
      <c r="I6" s="721" t="str">
        <f>Total!J4</f>
        <v>-</v>
      </c>
      <c r="J6" s="726"/>
    </row>
    <row r="7" spans="1:16" ht="15.75" thickBot="1" x14ac:dyDescent="0.3">
      <c r="B7" s="729" t="s">
        <v>431</v>
      </c>
      <c r="C7" s="721" t="s">
        <v>438</v>
      </c>
      <c r="D7" s="726" t="s">
        <v>439</v>
      </c>
      <c r="E7" s="721" t="s">
        <v>440</v>
      </c>
      <c r="F7" s="726" t="s">
        <v>439</v>
      </c>
      <c r="G7" s="721" t="s">
        <v>452</v>
      </c>
      <c r="H7" s="726"/>
      <c r="I7" s="721"/>
      <c r="J7" s="726"/>
    </row>
    <row r="8" spans="1:16" ht="15.75" thickBot="1" x14ac:dyDescent="0.3">
      <c r="B8" s="730" t="s">
        <v>432</v>
      </c>
      <c r="C8" s="15" t="s">
        <v>453</v>
      </c>
      <c r="D8" s="15" t="s">
        <v>453</v>
      </c>
      <c r="E8" s="15" t="s">
        <v>453</v>
      </c>
      <c r="F8" s="15" t="s">
        <v>453</v>
      </c>
      <c r="G8" s="15" t="s">
        <v>453</v>
      </c>
      <c r="H8" s="726"/>
      <c r="I8" s="721"/>
      <c r="J8" s="726"/>
    </row>
    <row r="9" spans="1:16" ht="15.75" thickBot="1" x14ac:dyDescent="0.3">
      <c r="B9" s="729" t="s">
        <v>433</v>
      </c>
      <c r="C9" s="685">
        <v>9.6300000000000008</v>
      </c>
      <c r="D9" s="685">
        <v>11.09</v>
      </c>
      <c r="E9" s="685">
        <f>Transport!F14</f>
        <v>9.6</v>
      </c>
      <c r="F9" s="685">
        <v>11.09</v>
      </c>
      <c r="G9" s="731">
        <v>9.6</v>
      </c>
      <c r="H9" s="732"/>
      <c r="I9" s="731"/>
      <c r="J9" s="732"/>
    </row>
    <row r="10" spans="1:16" ht="15.75" thickBot="1" x14ac:dyDescent="0.3">
      <c r="B10" s="27" t="s">
        <v>434</v>
      </c>
      <c r="C10" s="763">
        <v>18210</v>
      </c>
      <c r="D10" s="763">
        <v>6790</v>
      </c>
      <c r="E10" s="763">
        <v>637</v>
      </c>
      <c r="F10" s="763">
        <v>5734</v>
      </c>
      <c r="G10" s="733">
        <v>200</v>
      </c>
      <c r="H10" s="734"/>
      <c r="I10" s="733"/>
      <c r="J10" s="734"/>
      <c r="K10" s="683"/>
    </row>
    <row r="11" spans="1:16" ht="15.75" customHeight="1" thickBot="1" x14ac:dyDescent="0.3">
      <c r="B11" s="25" t="s">
        <v>435</v>
      </c>
      <c r="C11" s="765">
        <v>0</v>
      </c>
      <c r="D11" s="765">
        <v>0</v>
      </c>
      <c r="E11" s="765">
        <v>0</v>
      </c>
      <c r="F11" s="765">
        <v>0</v>
      </c>
      <c r="G11" s="765">
        <v>0</v>
      </c>
      <c r="H11" s="736"/>
      <c r="I11" s="735"/>
      <c r="J11" s="736"/>
    </row>
    <row r="12" spans="1:16" ht="15.75" customHeight="1" thickBot="1" x14ac:dyDescent="0.3">
      <c r="B12" s="126" t="s">
        <v>187</v>
      </c>
      <c r="C12" s="763">
        <f>C10-C11</f>
        <v>18210</v>
      </c>
      <c r="D12" s="763">
        <f t="shared" ref="D12:G12" si="0">D10-D11</f>
        <v>6790</v>
      </c>
      <c r="E12" s="763">
        <f t="shared" si="0"/>
        <v>637</v>
      </c>
      <c r="F12" s="763">
        <f t="shared" si="0"/>
        <v>5734</v>
      </c>
      <c r="G12" s="763">
        <f t="shared" si="0"/>
        <v>200</v>
      </c>
      <c r="H12" s="738"/>
      <c r="I12" s="737"/>
      <c r="J12" s="738"/>
    </row>
    <row r="13" spans="1:16" ht="15.75" customHeight="1" thickBot="1" x14ac:dyDescent="0.3">
      <c r="B13" s="588" t="s">
        <v>196</v>
      </c>
      <c r="C13" s="764">
        <f t="shared" ref="C13:G13" si="1">IF(C10=0,0,C12/C10)</f>
        <v>1</v>
      </c>
      <c r="D13" s="764">
        <f t="shared" si="1"/>
        <v>1</v>
      </c>
      <c r="E13" s="764">
        <f t="shared" si="1"/>
        <v>1</v>
      </c>
      <c r="F13" s="764">
        <f t="shared" si="1"/>
        <v>1</v>
      </c>
      <c r="G13" s="764">
        <f t="shared" si="1"/>
        <v>1</v>
      </c>
      <c r="H13" s="740"/>
      <c r="I13" s="739"/>
      <c r="J13" s="740"/>
    </row>
    <row r="14" spans="1:16" ht="15.75" customHeight="1" thickBot="1" x14ac:dyDescent="0.3">
      <c r="B14" s="741"/>
      <c r="C14" s="742"/>
      <c r="D14" s="685"/>
      <c r="E14" s="742"/>
      <c r="F14" s="685"/>
      <c r="G14" s="742"/>
      <c r="H14" s="15"/>
      <c r="I14" s="743"/>
      <c r="J14" s="28"/>
    </row>
    <row r="15" spans="1:16" ht="15.75" customHeight="1" thickBot="1" x14ac:dyDescent="0.3">
      <c r="B15" s="110"/>
      <c r="C15" s="369"/>
      <c r="D15" s="369"/>
      <c r="E15" s="369"/>
      <c r="F15" s="369"/>
      <c r="G15" s="369"/>
      <c r="H15" s="718"/>
      <c r="I15" s="60"/>
      <c r="J15" s="60"/>
    </row>
    <row r="16" spans="1:16" ht="18.75" customHeight="1" x14ac:dyDescent="0.25">
      <c r="B16" s="778" t="s">
        <v>27</v>
      </c>
      <c r="C16" s="779"/>
      <c r="D16" s="779"/>
      <c r="E16" s="779"/>
      <c r="F16" s="779"/>
      <c r="G16" s="780"/>
    </row>
    <row r="17" spans="2:11" ht="15" customHeight="1" thickBot="1" x14ac:dyDescent="0.3">
      <c r="B17" s="781"/>
      <c r="C17" s="782"/>
      <c r="D17" s="782"/>
      <c r="E17" s="782"/>
      <c r="F17" s="782"/>
      <c r="G17" s="783"/>
    </row>
    <row r="18" spans="2:11" ht="15.75" customHeight="1" thickBot="1" x14ac:dyDescent="0.3">
      <c r="B18" s="724" t="s">
        <v>1</v>
      </c>
      <c r="C18" s="744" t="s">
        <v>3</v>
      </c>
      <c r="D18" s="725" t="s">
        <v>185</v>
      </c>
      <c r="E18" s="720" t="s">
        <v>186</v>
      </c>
      <c r="F18" s="725" t="s">
        <v>187</v>
      </c>
      <c r="G18" s="720" t="s">
        <v>196</v>
      </c>
      <c r="J18" s="205"/>
    </row>
    <row r="19" spans="2:11" x14ac:dyDescent="0.25">
      <c r="B19" s="795" t="s">
        <v>27</v>
      </c>
      <c r="C19" s="24" t="s">
        <v>436</v>
      </c>
      <c r="D19" s="745">
        <v>0</v>
      </c>
      <c r="E19" s="207">
        <v>0</v>
      </c>
      <c r="F19" s="766">
        <f>D19-E19</f>
        <v>0</v>
      </c>
      <c r="G19" s="746" t="e">
        <f>F19/D19</f>
        <v>#DIV/0!</v>
      </c>
    </row>
    <row r="20" spans="2:11" x14ac:dyDescent="0.25">
      <c r="B20" s="805"/>
      <c r="C20" s="24" t="s">
        <v>437</v>
      </c>
      <c r="D20" s="747">
        <v>31751</v>
      </c>
      <c r="E20" s="207">
        <v>4500</v>
      </c>
      <c r="F20" s="766">
        <f>D20-E20</f>
        <v>27251</v>
      </c>
      <c r="G20" s="746">
        <f>F20/D20</f>
        <v>0.85827218040376685</v>
      </c>
    </row>
    <row r="21" spans="2:11" ht="15.75" thickBot="1" x14ac:dyDescent="0.3">
      <c r="B21" s="805"/>
      <c r="C21" s="748" t="s">
        <v>454</v>
      </c>
      <c r="D21" s="772">
        <v>206</v>
      </c>
      <c r="E21" s="767">
        <v>0</v>
      </c>
      <c r="F21" s="768">
        <f>D21-E21</f>
        <v>206</v>
      </c>
      <c r="G21" s="769">
        <f>F21/D21</f>
        <v>1</v>
      </c>
      <c r="K21" s="51"/>
    </row>
    <row r="22" spans="2:11" ht="15.75" thickBot="1" x14ac:dyDescent="0.3">
      <c r="B22" s="805"/>
      <c r="C22" s="298" t="s">
        <v>189</v>
      </c>
      <c r="D22" s="773">
        <v>536</v>
      </c>
      <c r="E22" s="771">
        <v>17</v>
      </c>
      <c r="F22" s="768">
        <f t="shared" ref="F22:F24" si="2">D22-E22</f>
        <v>519</v>
      </c>
      <c r="G22" s="769">
        <f t="shared" ref="G22:G24" si="3">F22/D22</f>
        <v>0.96828358208955223</v>
      </c>
      <c r="H22" s="10" t="s">
        <v>455</v>
      </c>
      <c r="K22" s="51"/>
    </row>
    <row r="23" spans="2:11" ht="15.75" thickBot="1" x14ac:dyDescent="0.3">
      <c r="B23" s="805"/>
      <c r="C23" s="24" t="s">
        <v>190</v>
      </c>
      <c r="D23" s="770">
        <v>0</v>
      </c>
      <c r="E23" s="771">
        <v>0</v>
      </c>
      <c r="F23" s="768">
        <f t="shared" si="2"/>
        <v>0</v>
      </c>
      <c r="G23" s="769" t="e">
        <f t="shared" si="3"/>
        <v>#DIV/0!</v>
      </c>
      <c r="H23" s="10" t="s">
        <v>456</v>
      </c>
      <c r="K23" s="51"/>
    </row>
    <row r="24" spans="2:11" ht="15.75" thickBot="1" x14ac:dyDescent="0.3">
      <c r="B24" s="806"/>
      <c r="C24" s="24" t="s">
        <v>191</v>
      </c>
      <c r="D24" s="770">
        <v>0</v>
      </c>
      <c r="E24" s="771">
        <v>5</v>
      </c>
      <c r="F24" s="768">
        <f t="shared" si="2"/>
        <v>-5</v>
      </c>
      <c r="G24" s="769" t="e">
        <f t="shared" si="3"/>
        <v>#DIV/0!</v>
      </c>
      <c r="K24" s="51"/>
    </row>
    <row r="25" spans="2:11" ht="15.75" thickBot="1" x14ac:dyDescent="0.3"/>
    <row r="26" spans="2:11" ht="15" customHeight="1" x14ac:dyDescent="0.25">
      <c r="B26" s="778" t="s">
        <v>26</v>
      </c>
      <c r="C26" s="779"/>
      <c r="D26" s="779"/>
      <c r="E26" s="779"/>
      <c r="F26" s="779"/>
      <c r="G26" s="780"/>
    </row>
    <row r="27" spans="2:11" ht="15.75" customHeight="1" thickBot="1" x14ac:dyDescent="0.3">
      <c r="B27" s="870"/>
      <c r="C27" s="850"/>
      <c r="D27" s="850"/>
      <c r="E27" s="850"/>
      <c r="F27" s="850"/>
      <c r="G27" s="857"/>
    </row>
    <row r="28" spans="2:11" ht="15.75" thickBot="1" x14ac:dyDescent="0.3">
      <c r="B28" s="39" t="s">
        <v>1</v>
      </c>
      <c r="C28" s="130" t="s">
        <v>3</v>
      </c>
      <c r="D28" s="719"/>
      <c r="E28" s="722" t="s">
        <v>185</v>
      </c>
      <c r="F28" s="723" t="s">
        <v>186</v>
      </c>
      <c r="G28" s="334" t="s">
        <v>187</v>
      </c>
      <c r="H28" s="15" t="s">
        <v>196</v>
      </c>
      <c r="I28" s="749"/>
      <c r="J28" s="750"/>
    </row>
    <row r="29" spans="2:11" ht="15.75" thickBot="1" x14ac:dyDescent="0.3">
      <c r="B29" s="800" t="s">
        <v>28</v>
      </c>
      <c r="C29" s="23" t="s">
        <v>253</v>
      </c>
      <c r="D29" s="751"/>
      <c r="E29" s="524"/>
      <c r="F29" s="108"/>
      <c r="G29" s="752">
        <f t="shared" ref="G29:G55" si="4">E29-F29</f>
        <v>0</v>
      </c>
      <c r="H29" s="328" t="e">
        <f t="shared" ref="H29:H55" si="5">G29/E29</f>
        <v>#DIV/0!</v>
      </c>
      <c r="I29" s="3"/>
      <c r="J29" s="753"/>
      <c r="K29" s="775"/>
    </row>
    <row r="30" spans="2:11" ht="15.75" thickBot="1" x14ac:dyDescent="0.3">
      <c r="B30" s="796"/>
      <c r="C30" s="24" t="s">
        <v>457</v>
      </c>
      <c r="D30" s="754"/>
      <c r="E30" s="524">
        <v>4703</v>
      </c>
      <c r="F30" s="583">
        <v>2169</v>
      </c>
      <c r="G30" s="752">
        <f t="shared" si="4"/>
        <v>2534</v>
      </c>
      <c r="H30" s="328">
        <f t="shared" si="5"/>
        <v>0.53880501807357006</v>
      </c>
      <c r="I30" s="3"/>
      <c r="J30" s="753"/>
      <c r="K30" s="904" t="s">
        <v>459</v>
      </c>
    </row>
    <row r="31" spans="2:11" ht="15.75" thickBot="1" x14ac:dyDescent="0.3">
      <c r="B31" s="796"/>
      <c r="C31" s="24" t="s">
        <v>256</v>
      </c>
      <c r="D31" s="754"/>
      <c r="E31" s="524"/>
      <c r="F31" s="583"/>
      <c r="G31" s="752">
        <f t="shared" si="4"/>
        <v>0</v>
      </c>
      <c r="H31" s="328" t="e">
        <f t="shared" si="5"/>
        <v>#DIV/0!</v>
      </c>
      <c r="I31" s="3"/>
      <c r="J31" s="753"/>
      <c r="K31" s="904"/>
    </row>
    <row r="32" spans="2:11" ht="15.75" thickBot="1" x14ac:dyDescent="0.3">
      <c r="B32" s="796"/>
      <c r="C32" s="24" t="s">
        <v>254</v>
      </c>
      <c r="D32" s="754"/>
      <c r="E32" s="524"/>
      <c r="F32" s="583"/>
      <c r="G32" s="752">
        <f t="shared" si="4"/>
        <v>0</v>
      </c>
      <c r="H32" s="328" t="e">
        <f t="shared" si="5"/>
        <v>#DIV/0!</v>
      </c>
      <c r="I32" s="3"/>
      <c r="J32" s="753"/>
      <c r="K32" s="904"/>
    </row>
    <row r="33" spans="2:11" ht="15.75" thickBot="1" x14ac:dyDescent="0.3">
      <c r="B33" s="796"/>
      <c r="C33" s="24" t="s">
        <v>458</v>
      </c>
      <c r="D33" s="755">
        <v>165</v>
      </c>
      <c r="E33" s="524">
        <v>11800</v>
      </c>
      <c r="F33" s="583">
        <v>6631</v>
      </c>
      <c r="G33" s="752">
        <f t="shared" si="4"/>
        <v>5169</v>
      </c>
      <c r="H33" s="328">
        <f t="shared" si="5"/>
        <v>0.43805084745762712</v>
      </c>
      <c r="I33" s="3"/>
      <c r="J33" s="756"/>
      <c r="K33" s="904"/>
    </row>
    <row r="34" spans="2:11" ht="15.75" thickBot="1" x14ac:dyDescent="0.3">
      <c r="B34" s="796"/>
      <c r="C34" s="298" t="s">
        <v>189</v>
      </c>
      <c r="D34" s="757"/>
      <c r="E34" s="758"/>
      <c r="F34" s="302"/>
      <c r="G34" s="752">
        <f t="shared" si="4"/>
        <v>0</v>
      </c>
      <c r="H34" s="328" t="e">
        <f t="shared" si="5"/>
        <v>#DIV/0!</v>
      </c>
      <c r="I34" s="3"/>
      <c r="J34" s="753"/>
    </row>
    <row r="35" spans="2:11" ht="15.75" thickBot="1" x14ac:dyDescent="0.3">
      <c r="B35" s="796"/>
      <c r="C35" s="298" t="s">
        <v>216</v>
      </c>
      <c r="D35" s="757"/>
      <c r="E35" s="525"/>
      <c r="F35" s="344"/>
      <c r="G35" s="752">
        <f t="shared" si="4"/>
        <v>0</v>
      </c>
      <c r="H35" s="328" t="e">
        <f t="shared" si="5"/>
        <v>#DIV/0!</v>
      </c>
      <c r="I35" s="3"/>
      <c r="J35" s="753"/>
    </row>
    <row r="36" spans="2:11" ht="15.75" thickBot="1" x14ac:dyDescent="0.3">
      <c r="B36" s="796"/>
      <c r="C36" s="298" t="s">
        <v>221</v>
      </c>
      <c r="D36" s="757"/>
      <c r="E36" s="525"/>
      <c r="F36" s="344">
        <v>0</v>
      </c>
      <c r="G36" s="752">
        <f t="shared" si="4"/>
        <v>0</v>
      </c>
      <c r="H36" s="328" t="e">
        <f t="shared" si="5"/>
        <v>#DIV/0!</v>
      </c>
      <c r="I36" s="3"/>
      <c r="J36" s="753"/>
    </row>
    <row r="37" spans="2:11" ht="15.75" thickBot="1" x14ac:dyDescent="0.3">
      <c r="B37" s="796"/>
      <c r="C37" s="126" t="s">
        <v>460</v>
      </c>
      <c r="D37" s="757"/>
      <c r="E37" s="525">
        <v>34316</v>
      </c>
      <c r="F37" s="344">
        <v>31231.69</v>
      </c>
      <c r="G37" s="752">
        <f t="shared" si="4"/>
        <v>3084.3100000000013</v>
      </c>
      <c r="H37" s="328">
        <f t="shared" si="5"/>
        <v>8.9879647977619812E-2</v>
      </c>
      <c r="I37" s="3"/>
      <c r="J37" s="753"/>
      <c r="K37" s="10" t="s">
        <v>461</v>
      </c>
    </row>
    <row r="38" spans="2:11" ht="15.75" thickBot="1" x14ac:dyDescent="0.3">
      <c r="B38" s="796"/>
      <c r="C38" s="126" t="str">
        <f>[1]Gravelage!K16</f>
        <v>Production cible  (Km/jour)</v>
      </c>
      <c r="D38" s="757"/>
      <c r="E38" s="525">
        <f>Gravelage!L16</f>
        <v>0.98292857142857137</v>
      </c>
      <c r="F38" s="344"/>
      <c r="G38" s="752">
        <f t="shared" si="4"/>
        <v>0.98292857142857137</v>
      </c>
      <c r="H38" s="328">
        <f t="shared" si="5"/>
        <v>1</v>
      </c>
      <c r="I38" s="3"/>
      <c r="J38" s="753"/>
    </row>
    <row r="39" spans="2:11" ht="15.75" thickBot="1" x14ac:dyDescent="0.3">
      <c r="B39" s="796"/>
      <c r="C39" s="126" t="s">
        <v>204</v>
      </c>
      <c r="D39" s="757"/>
      <c r="E39" s="525">
        <v>12</v>
      </c>
      <c r="F39" s="344">
        <v>4</v>
      </c>
      <c r="G39" s="752">
        <f t="shared" si="4"/>
        <v>8</v>
      </c>
      <c r="H39" s="328">
        <f t="shared" si="5"/>
        <v>0.66666666666666663</v>
      </c>
      <c r="I39" s="3"/>
      <c r="J39" s="753"/>
    </row>
    <row r="40" spans="2:11" ht="15.75" thickBot="1" x14ac:dyDescent="0.3">
      <c r="B40" s="796"/>
      <c r="C40" s="126" t="s">
        <v>206</v>
      </c>
      <c r="D40" s="757"/>
      <c r="E40" s="525">
        <v>1</v>
      </c>
      <c r="F40" s="344">
        <v>1</v>
      </c>
      <c r="G40" s="752">
        <f t="shared" si="4"/>
        <v>0</v>
      </c>
      <c r="H40" s="328">
        <f t="shared" si="5"/>
        <v>0</v>
      </c>
      <c r="I40" s="3"/>
      <c r="J40" s="753"/>
    </row>
    <row r="41" spans="2:11" ht="15.75" thickBot="1" x14ac:dyDescent="0.3">
      <c r="B41" s="796"/>
      <c r="C41" s="126" t="s">
        <v>449</v>
      </c>
      <c r="D41" s="757"/>
      <c r="E41" s="525">
        <f>'Construction de chemin'!L20</f>
        <v>68.091634615384621</v>
      </c>
      <c r="F41" s="344">
        <v>17.3</v>
      </c>
      <c r="G41" s="752">
        <f t="shared" si="4"/>
        <v>50.791634615384623</v>
      </c>
      <c r="H41" s="328">
        <f t="shared" si="5"/>
        <v>0.74593061104026959</v>
      </c>
      <c r="I41" s="3"/>
      <c r="J41" s="753"/>
    </row>
    <row r="42" spans="2:11" ht="15.75" thickBot="1" x14ac:dyDescent="0.3">
      <c r="B42" s="796"/>
      <c r="C42" s="126" t="s">
        <v>207</v>
      </c>
      <c r="D42" s="757"/>
      <c r="E42" s="525">
        <v>1</v>
      </c>
      <c r="F42" s="344">
        <v>1</v>
      </c>
      <c r="G42" s="752">
        <f t="shared" si="4"/>
        <v>0</v>
      </c>
      <c r="H42" s="328">
        <f t="shared" si="5"/>
        <v>0</v>
      </c>
      <c r="I42" s="3"/>
      <c r="J42" s="753"/>
    </row>
    <row r="43" spans="2:11" ht="15.75" thickBot="1" x14ac:dyDescent="0.3">
      <c r="B43" s="796"/>
      <c r="C43" s="126" t="s">
        <v>208</v>
      </c>
      <c r="D43" s="757"/>
      <c r="E43" s="525"/>
      <c r="F43" s="344"/>
      <c r="G43" s="752">
        <f t="shared" si="4"/>
        <v>0</v>
      </c>
      <c r="H43" s="328" t="e">
        <f t="shared" si="5"/>
        <v>#DIV/0!</v>
      </c>
      <c r="I43" s="3"/>
      <c r="J43" s="753"/>
    </row>
    <row r="44" spans="2:11" ht="15.75" thickBot="1" x14ac:dyDescent="0.3">
      <c r="B44" s="796"/>
      <c r="C44" s="126" t="s">
        <v>441</v>
      </c>
      <c r="D44" s="757"/>
      <c r="E44" s="525"/>
      <c r="F44" s="344"/>
      <c r="G44" s="752">
        <f t="shared" si="4"/>
        <v>0</v>
      </c>
      <c r="H44" s="328" t="e">
        <f t="shared" si="5"/>
        <v>#DIV/0!</v>
      </c>
      <c r="I44" s="3"/>
      <c r="J44" s="753"/>
    </row>
    <row r="45" spans="2:11" ht="15.75" thickBot="1" x14ac:dyDescent="0.3">
      <c r="B45" s="796"/>
      <c r="C45" s="126" t="s">
        <v>213</v>
      </c>
      <c r="D45" s="757"/>
      <c r="E45" s="525"/>
      <c r="F45" s="344"/>
      <c r="G45" s="752">
        <f t="shared" si="4"/>
        <v>0</v>
      </c>
      <c r="H45" s="328" t="e">
        <f t="shared" si="5"/>
        <v>#DIV/0!</v>
      </c>
      <c r="I45" s="3"/>
      <c r="J45" s="753"/>
    </row>
    <row r="46" spans="2:11" ht="15.75" thickBot="1" x14ac:dyDescent="0.3">
      <c r="B46" s="796"/>
      <c r="C46" s="126" t="s">
        <v>442</v>
      </c>
      <c r="D46" s="757"/>
      <c r="E46" s="525"/>
      <c r="F46" s="344"/>
      <c r="G46" s="752">
        <f t="shared" si="4"/>
        <v>0</v>
      </c>
      <c r="H46" s="328" t="e">
        <f t="shared" si="5"/>
        <v>#DIV/0!</v>
      </c>
      <c r="I46" s="3"/>
      <c r="J46" s="753"/>
    </row>
    <row r="47" spans="2:11" ht="15.75" thickBot="1" x14ac:dyDescent="0.3">
      <c r="B47" s="796"/>
      <c r="C47" s="126" t="s">
        <v>276</v>
      </c>
      <c r="D47" s="757"/>
      <c r="E47" s="525"/>
      <c r="F47" s="344"/>
      <c r="G47" s="752">
        <f t="shared" si="4"/>
        <v>0</v>
      </c>
      <c r="H47" s="328" t="e">
        <f t="shared" si="5"/>
        <v>#DIV/0!</v>
      </c>
      <c r="I47" s="3"/>
      <c r="J47" s="753"/>
    </row>
    <row r="48" spans="2:11" ht="15.75" thickBot="1" x14ac:dyDescent="0.3">
      <c r="B48" s="796"/>
      <c r="C48" s="126" t="s">
        <v>443</v>
      </c>
      <c r="D48" s="757"/>
      <c r="E48" s="525"/>
      <c r="F48" s="344"/>
      <c r="G48" s="752">
        <f t="shared" si="4"/>
        <v>0</v>
      </c>
      <c r="H48" s="328" t="e">
        <f t="shared" si="5"/>
        <v>#DIV/0!</v>
      </c>
      <c r="I48" s="3"/>
      <c r="J48" s="753"/>
    </row>
    <row r="49" spans="2:10" ht="15.75" thickBot="1" x14ac:dyDescent="0.3">
      <c r="B49" s="796"/>
      <c r="C49" s="126" t="s">
        <v>444</v>
      </c>
      <c r="D49" s="757"/>
      <c r="E49" s="525"/>
      <c r="F49" s="344"/>
      <c r="G49" s="752">
        <f t="shared" si="4"/>
        <v>0</v>
      </c>
      <c r="H49" s="328" t="e">
        <f t="shared" si="5"/>
        <v>#DIV/0!</v>
      </c>
      <c r="I49" s="3"/>
      <c r="J49" s="753"/>
    </row>
    <row r="50" spans="2:10" ht="15.75" thickBot="1" x14ac:dyDescent="0.3">
      <c r="B50" s="796"/>
      <c r="C50" s="126" t="s">
        <v>209</v>
      </c>
      <c r="D50" s="757"/>
      <c r="E50" s="525"/>
      <c r="F50" s="344"/>
      <c r="G50" s="752">
        <f t="shared" si="4"/>
        <v>0</v>
      </c>
      <c r="H50" s="328" t="e">
        <f t="shared" si="5"/>
        <v>#DIV/0!</v>
      </c>
      <c r="I50" s="3"/>
      <c r="J50" s="753"/>
    </row>
    <row r="51" spans="2:10" ht="15.75" thickBot="1" x14ac:dyDescent="0.3">
      <c r="B51" s="796"/>
      <c r="C51" s="126" t="s">
        <v>210</v>
      </c>
      <c r="D51" s="757"/>
      <c r="E51" s="525"/>
      <c r="F51" s="344"/>
      <c r="G51" s="752">
        <f t="shared" si="4"/>
        <v>0</v>
      </c>
      <c r="H51" s="328" t="e">
        <f t="shared" si="5"/>
        <v>#DIV/0!</v>
      </c>
      <c r="I51" s="3"/>
      <c r="J51" s="753"/>
    </row>
    <row r="52" spans="2:10" ht="15.75" thickBot="1" x14ac:dyDescent="0.3">
      <c r="B52" s="796"/>
      <c r="C52" s="126" t="s">
        <v>445</v>
      </c>
      <c r="D52" s="757"/>
      <c r="E52" s="525"/>
      <c r="F52" s="344"/>
      <c r="G52" s="752">
        <f t="shared" si="4"/>
        <v>0</v>
      </c>
      <c r="H52" s="328" t="e">
        <f t="shared" si="5"/>
        <v>#DIV/0!</v>
      </c>
      <c r="I52" s="3"/>
      <c r="J52" s="753"/>
    </row>
    <row r="53" spans="2:10" ht="15.75" thickBot="1" x14ac:dyDescent="0.3">
      <c r="B53" s="796"/>
      <c r="C53" s="126" t="s">
        <v>446</v>
      </c>
      <c r="D53" s="757"/>
      <c r="E53" s="525">
        <v>1</v>
      </c>
      <c r="F53" s="344">
        <v>1</v>
      </c>
      <c r="G53" s="752">
        <f t="shared" si="4"/>
        <v>0</v>
      </c>
      <c r="H53" s="328">
        <f t="shared" si="5"/>
        <v>0</v>
      </c>
      <c r="I53" s="3"/>
      <c r="J53" s="753"/>
    </row>
    <row r="54" spans="2:10" ht="15.75" thickBot="1" x14ac:dyDescent="0.3">
      <c r="B54" s="796"/>
      <c r="C54" s="126" t="s">
        <v>447</v>
      </c>
      <c r="D54" s="757"/>
      <c r="E54" s="525"/>
      <c r="F54" s="344"/>
      <c r="G54" s="752">
        <f t="shared" si="4"/>
        <v>0</v>
      </c>
      <c r="H54" s="328" t="e">
        <f t="shared" si="5"/>
        <v>#DIV/0!</v>
      </c>
      <c r="I54" s="3"/>
      <c r="J54" s="753"/>
    </row>
    <row r="55" spans="2:10" ht="15.75" thickBot="1" x14ac:dyDescent="0.3">
      <c r="B55" s="797"/>
      <c r="C55" s="127" t="s">
        <v>448</v>
      </c>
      <c r="D55" s="759"/>
      <c r="E55" s="760"/>
      <c r="F55" s="344"/>
      <c r="G55" s="752">
        <f t="shared" si="4"/>
        <v>0</v>
      </c>
      <c r="H55" s="328" t="e">
        <f t="shared" si="5"/>
        <v>#DIV/0!</v>
      </c>
      <c r="I55" s="7"/>
      <c r="J55" s="761"/>
    </row>
    <row r="58" spans="2:10" x14ac:dyDescent="0.25">
      <c r="D58" s="762"/>
    </row>
  </sheetData>
  <mergeCells count="8">
    <mergeCell ref="K30:K33"/>
    <mergeCell ref="B29:B55"/>
    <mergeCell ref="B19:B24"/>
    <mergeCell ref="A2:J2"/>
    <mergeCell ref="B3:J4"/>
    <mergeCell ref="C5:J5"/>
    <mergeCell ref="B16:G17"/>
    <mergeCell ref="B26:G27"/>
  </mergeCells>
  <pageMargins left="0.7" right="0.7" top="0.75" bottom="0.75" header="0.3" footer="0.3"/>
  <pageSetup scale="62"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25</vt:i4>
      </vt:variant>
      <vt:variant>
        <vt:lpstr>Plages nommées</vt:lpstr>
      </vt:variant>
      <vt:variant>
        <vt:i4>1</vt:i4>
      </vt:variant>
    </vt:vector>
  </HeadingPairs>
  <TitlesOfParts>
    <vt:vector size="26" baseType="lpstr">
      <vt:lpstr>présentation forex_chemin</vt:lpstr>
      <vt:lpstr>PRÉSENTATION_FOREX_global</vt:lpstr>
      <vt:lpstr>Total</vt:lpstr>
      <vt:lpstr>Table de taux bois</vt:lpstr>
      <vt:lpstr>Table de taux machine</vt:lpstr>
      <vt:lpstr>Abattage</vt:lpstr>
      <vt:lpstr>Débardage</vt:lpstr>
      <vt:lpstr>Ébranchage</vt:lpstr>
      <vt:lpstr>Tronçonage</vt:lpstr>
      <vt:lpstr>Grille Productivité récolte</vt:lpstr>
      <vt:lpstr>Mesurage</vt:lpstr>
      <vt:lpstr>Surveillance Récolte</vt:lpstr>
      <vt:lpstr>Dépenses générales</vt:lpstr>
      <vt:lpstr>Chargement</vt:lpstr>
      <vt:lpstr>Surveillance Transport</vt:lpstr>
      <vt:lpstr>Transport</vt:lpstr>
      <vt:lpstr>Entretient de chemin</vt:lpstr>
      <vt:lpstr>Gravelage</vt:lpstr>
      <vt:lpstr>Construction de chemin</vt:lpstr>
      <vt:lpstr>Suivi Récolte</vt:lpstr>
      <vt:lpstr>Suivi Chemin</vt:lpstr>
      <vt:lpstr>Suivi Transport</vt:lpstr>
      <vt:lpstr>entente chemin_ouest</vt:lpstr>
      <vt:lpstr>entente chemin_est</vt:lpstr>
      <vt:lpstr>tableau bord_coord</vt:lpstr>
      <vt:lpstr>'présentation forex_chemin'!Zone_d_impression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Etienne</dc:creator>
  <cp:lastModifiedBy>Gilbert Perreault</cp:lastModifiedBy>
  <cp:lastPrinted>2016-08-04T14:37:35Z</cp:lastPrinted>
  <dcterms:created xsi:type="dcterms:W3CDTF">2016-03-10T17:57:34Z</dcterms:created>
  <dcterms:modified xsi:type="dcterms:W3CDTF">2016-08-26T15:38:33Z</dcterms:modified>
</cp:coreProperties>
</file>