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tables/table6.xml" ContentType="application/vnd.openxmlformats-officedocument.spreadsheetml.table+xml"/>
  <Override PartName="/xl/drawings/drawing5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tables/table8.xml" ContentType="application/vnd.openxmlformats-officedocument.spreadsheetml.table+xml"/>
  <Override PartName="/xl/drawings/drawing7.xml" ContentType="application/vnd.openxmlformats-officedocument.drawing+xml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tables/table9.xml" ContentType="application/vnd.openxmlformats-officedocument.spreadsheetml.table+xml"/>
  <Override PartName="/xl/drawings/drawing8.xml" ContentType="application/vnd.openxmlformats-officedocument.drawing+xml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tables/table10.xml" ContentType="application/vnd.openxmlformats-officedocument.spreadsheetml.table+xml"/>
  <Override PartName="/xl/drawings/drawing9.xml" ContentType="application/vnd.openxmlformats-officedocument.drawing+xml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tables/table11.xml" ContentType="application/vnd.openxmlformats-officedocument.spreadsheetml.table+xml"/>
  <Override PartName="/xl/drawings/drawing10.xml" ContentType="application/vnd.openxmlformats-officedocument.drawing+xml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tables/table12.xml" ContentType="application/vnd.openxmlformats-officedocument.spreadsheetml.table+xml"/>
  <Override PartName="/xl/drawings/drawing11.xml" ContentType="application/vnd.openxmlformats-officedocument.drawing+xml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" windowWidth="15195" windowHeight="12780" tabRatio="923" activeTab="3"/>
  </bookViews>
  <sheets>
    <sheet name="PROGRAMME" sheetId="144" r:id="rId1"/>
    <sheet name="JOURNAL" sheetId="146" state="hidden" r:id="rId2"/>
    <sheet name="Ouvertures" sheetId="148" r:id="rId3"/>
    <sheet name="Moteur de calcul" sheetId="150" r:id="rId4"/>
    <sheet name="prix" sheetId="149" r:id="rId5"/>
    <sheet name="DÉMOLITIONS - MODIFICATIONS" sheetId="113" state="veryHidden" r:id="rId6"/>
    <sheet name="BAC ACIER" sheetId="116" state="veryHidden" r:id="rId7"/>
    <sheet name="ÉTANCHÉITÉ" sheetId="118" state="veryHidden" r:id="rId8"/>
    <sheet name="CHÂSSIS DE TOIT" sheetId="119" state="veryHidden" r:id="rId9"/>
    <sheet name="CHARPENTE MÉTALLIQUE" sheetId="122" state="veryHidden" r:id="rId10"/>
    <sheet name="SERRURERIE" sheetId="123" state="veryHidden" r:id="rId11"/>
    <sheet name="ESCALIER" sheetId="126" state="veryHidden" r:id="rId12"/>
    <sheet name="PLAFONDS SUSPENDUS" sheetId="131" state="veryHidden" r:id="rId13"/>
    <sheet name="PLÂTRERIE" sheetId="129" state="veryHidden" r:id="rId14"/>
    <sheet name="PEINTURE" sheetId="139" state="veryHidden" r:id="rId15"/>
    <sheet name="AMÉNAGEMENTS EXTÉRIEURS" sheetId="141" state="veryHidden" r:id="rId16"/>
  </sheets>
  <definedNames>
    <definedName name="Choix">PROGRAMME!$L$5:$L$6</definedName>
    <definedName name="Coffre">PROGRAMME!$N$14:$N$18</definedName>
    <definedName name="Commande">PROGRAMME!$N$28:$N$33</definedName>
    <definedName name="Couleur">PROGRAMME!$L$19:$L$38</definedName>
    <definedName name="Dormant">PROGRAMME!$L$9:$L$16</definedName>
    <definedName name="Entreedair">PROGRAMME!$N$40:$N$42</definedName>
    <definedName name="Famille">PROGRAMME!$G$16:$G$40</definedName>
    <definedName name="Fermeture">PROGRAMME!$N$5:$N$11</definedName>
    <definedName name="Hauteurs">#REF!</definedName>
    <definedName name="HTAmenagementsexterieurs1">'AMÉNAGEMENTS EXTÉRIEURS'!$I$16</definedName>
    <definedName name="HTAmenagementsinterieurs1">#REF!</definedName>
    <definedName name="HTBacacier1">'BAC ACIER'!$I$30</definedName>
    <definedName name="HTCarrelagefaience1">#REF!</definedName>
    <definedName name="HTChape1">#REF!</definedName>
    <definedName name="HTCharpentebois1">#REF!</definedName>
    <definedName name="HTCharpentemetallique1">'CHARPENTE MÉTALLIQUE'!$I$17</definedName>
    <definedName name="HTChassisdetoit1">'CHÂSSIS DE TOIT'!$I$20</definedName>
    <definedName name="HTChauffage1">#REF!</definedName>
    <definedName name="HTCloisonsseches1">#REF!</definedName>
    <definedName name="HTCouverture1">#REF!</definedName>
    <definedName name="HTDemolitions1">'DÉMOLITIONS - MODIFICATIONS'!$I$27</definedName>
    <definedName name="HTElectricite1">#REF!</definedName>
    <definedName name="HTEscalier1">ESCALIER!$I$23</definedName>
    <definedName name="HTEtancheite1">ÉTANCHÉITÉ!$I$46</definedName>
    <definedName name="HTGouttieres1">#REF!</definedName>
    <definedName name="HTIsolationthermique1">#REF!</definedName>
    <definedName name="HTMaconnerie1">#REF!</definedName>
    <definedName name="HTMenuiseriesexterieures1">#REF!</definedName>
    <definedName name="HTPeinture1">PEINTURE!$I$27</definedName>
    <definedName name="HTPlafondssuspendus1">'PLAFONDS SUSPENDUS'!$I$16</definedName>
    <definedName name="HTPlatrerie1">PLÂTRERIE!$I$30</definedName>
    <definedName name="HTPlomberie1">#REF!</definedName>
    <definedName name="HTPortesinterieures1">#REF!</definedName>
    <definedName name="HTPrestations1">#REF!</definedName>
    <definedName name="HTPrestations2">#REF!</definedName>
    <definedName name="HTRavalementdefacades1">#REF!</definedName>
    <definedName name="HTRevetementsdesol1">#REF!</definedName>
    <definedName name="HTSerrurerie1">SERRURERIE!$I$16</definedName>
    <definedName name="HTTerrasse">#REF!</definedName>
    <definedName name="HTTerrassement1">#REF!</definedName>
    <definedName name="HTTraitements1">#REF!</definedName>
    <definedName name="HTVentilation1">#REF!</definedName>
    <definedName name="HTZinguerie1">#REF!</definedName>
    <definedName name="Largeurs">#REF!</definedName>
    <definedName name="Métreur">PROGRAMME!$G$43:$G$55</definedName>
    <definedName name="Montagepetitsbois">PROGRAMME!$M$28:$M$46</definedName>
    <definedName name="Moteur">PROGRAMME!$N$21:$N$25</definedName>
    <definedName name="Orientation">PROGRAMME!$G$5:$G$12</definedName>
    <definedName name="Petitsbois">PROGRAMME!$M$13:$M$25</definedName>
    <definedName name="Tablier">PROGRAMME!$N$36:$N$37</definedName>
    <definedName name="TTCAmenagementsexterieurs1">'AMÉNAGEMENTS EXTÉRIEURS'!$I$20</definedName>
    <definedName name="TTCAmenagementsinterieurs1">#REF!</definedName>
    <definedName name="TTCBacacier1">'BAC ACIER'!$I$34</definedName>
    <definedName name="TTCCarrelagefaience1">#REF!</definedName>
    <definedName name="TTCChape1">#REF!</definedName>
    <definedName name="TTCCharpentebois1">#REF!</definedName>
    <definedName name="TTCCharpentemetallique1">'CHARPENTE MÉTALLIQUE'!$I$21</definedName>
    <definedName name="TTCChassisdetoit1">'CHÂSSIS DE TOIT'!$I$24</definedName>
    <definedName name="TTCChauffage1">#REF!</definedName>
    <definedName name="TTCCloisonsseches1">#REF!</definedName>
    <definedName name="TTCCouverture1">#REF!</definedName>
    <definedName name="TTCDemolitions1">'DÉMOLITIONS - MODIFICATIONS'!$I$31</definedName>
    <definedName name="TTCElectricite1">#REF!</definedName>
    <definedName name="TTCEscalier1">ESCALIER!$I$27</definedName>
    <definedName name="TTCEtancheite1">ÉTANCHÉITÉ!$I$50</definedName>
    <definedName name="TTCGouttieres1">#REF!</definedName>
    <definedName name="TTCIsolationthermique1">#REF!</definedName>
    <definedName name="TTCMaconnerie1">#REF!</definedName>
    <definedName name="TTCMenuiseriesexterieures1">#REF!</definedName>
    <definedName name="TTCPeinture1">PEINTURE!$I$31</definedName>
    <definedName name="TTCPlafondssuspendus1">'PLAFONDS SUSPENDUS'!$I$20</definedName>
    <definedName name="TTCPlatrerie1">PLÂTRERIE!$I$34</definedName>
    <definedName name="TTCPlomberie1">#REF!</definedName>
    <definedName name="TTCPortesinterieures1">#REF!</definedName>
    <definedName name="TTCPrestations1">#REF!</definedName>
    <definedName name="TTCPrestations2">#REF!</definedName>
    <definedName name="TTCRavalementdefacades1">#REF!</definedName>
    <definedName name="TTCRevetementsdesol1">#REF!</definedName>
    <definedName name="TTCSerrurerie1">SERRURERIE!$I$20</definedName>
    <definedName name="TTCTerrasse">#REF!</definedName>
    <definedName name="TTCTerrassement1">#REF!</definedName>
    <definedName name="TTCTraitements1">#REF!</definedName>
    <definedName name="TTCVentilation1">#REF!</definedName>
    <definedName name="TTCZinguerie1">#REF!</definedName>
    <definedName name="TVA10Amenagementsexterieurs1">'AMÉNAGEMENTS EXTÉRIEURS'!$I$18</definedName>
    <definedName name="TVA10Amenagementsinterieurs1">#REF!</definedName>
    <definedName name="TVA10Bacacier1">'BAC ACIER'!$I$32</definedName>
    <definedName name="TVA10Carrelagefaience1">#REF!</definedName>
    <definedName name="TVA10Chape1">#REF!</definedName>
    <definedName name="TVA10Charpentebois1">#REF!</definedName>
    <definedName name="TVA10Charpentemetallique1">'CHARPENTE MÉTALLIQUE'!$I$19</definedName>
    <definedName name="TVA10Chassisdetoit1">'CHÂSSIS DE TOIT'!$I$22</definedName>
    <definedName name="TVA10Chauffage1">#REF!</definedName>
    <definedName name="TVA10Cloisonsseches1">#REF!</definedName>
    <definedName name="TVA10Couverture1">#REF!</definedName>
    <definedName name="TVA10Demolitions1">'DÉMOLITIONS - MODIFICATIONS'!$I$29</definedName>
    <definedName name="TVA10Electricite1">#REF!</definedName>
    <definedName name="TVA10Escalier1">ESCALIER!$I$25</definedName>
    <definedName name="TVA10Etancheite1">ÉTANCHÉITÉ!$I$48</definedName>
    <definedName name="TVA10Gouttieres1">#REF!</definedName>
    <definedName name="TVA10Isolationthermique1">#REF!</definedName>
    <definedName name="TVA10Maconnerie1">#REF!</definedName>
    <definedName name="TVA10Menuiseriesexterieures1">#REF!</definedName>
    <definedName name="TVA10Peinture1">PEINTURE!$I$29</definedName>
    <definedName name="TVA10Plafondssuspendus1">'PLAFONDS SUSPENDUS'!$I$18</definedName>
    <definedName name="TVA10Platrerie1">PLÂTRERIE!$I$32</definedName>
    <definedName name="TVA10Plomberie1">#REF!</definedName>
    <definedName name="TVA10Portesinterieures1">#REF!</definedName>
    <definedName name="TVA10Prestations1">#REF!</definedName>
    <definedName name="TVA10Prestations2">#REF!</definedName>
    <definedName name="TVA10Ravalementdefacades1">#REF!</definedName>
    <definedName name="TVA10Revetementsdesol1">#REF!</definedName>
    <definedName name="TVA10Serrurerie1">SERRURERIE!$I$18</definedName>
    <definedName name="TVA10Terrasse">#REF!</definedName>
    <definedName name="TVA10Terrassement1">#REF!</definedName>
    <definedName name="TVA10Traitements1">#REF!</definedName>
    <definedName name="TVA10Ventilation1">#REF!</definedName>
    <definedName name="TVA10Zinguerie1">#REF!</definedName>
    <definedName name="TVA20Amenagementsexterieurs1">'AMÉNAGEMENTS EXTÉRIEURS'!$I$17</definedName>
    <definedName name="TVA20Amenagementsinterieurs1">#REF!</definedName>
    <definedName name="TVA20Bacacier1">'BAC ACIER'!$I$31</definedName>
    <definedName name="TVA20Carrelagefaience1">#REF!</definedName>
    <definedName name="TVA20Chape1">#REF!</definedName>
    <definedName name="TVA20Charpentebois1">#REF!</definedName>
    <definedName name="TVA20Charpentemetallique1">'CHARPENTE MÉTALLIQUE'!$I$18</definedName>
    <definedName name="TVA20Chassisdetoit1">'CHÂSSIS DE TOIT'!$I$21</definedName>
    <definedName name="TVA20Chauffage1">#REF!</definedName>
    <definedName name="TVA20Cloisonsseches1">#REF!</definedName>
    <definedName name="TVA20Couverture1">#REF!</definedName>
    <definedName name="TVA20Demolitions1">'DÉMOLITIONS - MODIFICATIONS'!$I$28</definedName>
    <definedName name="TVA20Electricite1">#REF!</definedName>
    <definedName name="TVA20Escalier1">ESCALIER!$I$24</definedName>
    <definedName name="TVA20Etancheite1">ÉTANCHÉITÉ!$I$47</definedName>
    <definedName name="TVA20Gouttieres1">#REF!</definedName>
    <definedName name="TVA20Isolationthermique1">#REF!</definedName>
    <definedName name="TVA20Maconnerie1">#REF!</definedName>
    <definedName name="TVA20Menuiseriesexterieures1">#REF!</definedName>
    <definedName name="TVA20Peinture1">PEINTURE!$I$28</definedName>
    <definedName name="TVA20Plafondssuspendus1">'PLAFONDS SUSPENDUS'!$I$17</definedName>
    <definedName name="TVA20Platrerie1">PLÂTRERIE!$I$31</definedName>
    <definedName name="TVA20Plomberie1">#REF!</definedName>
    <definedName name="TVA20Portesinterieures1">#REF!</definedName>
    <definedName name="TVA20Prestations1">#REF!</definedName>
    <definedName name="TVA20Prestations2">#REF!</definedName>
    <definedName name="TVA20Ravalementdefacades1">#REF!</definedName>
    <definedName name="TVA20Revetementsdesol1">#REF!</definedName>
    <definedName name="TVA20Serrurerie1">SERRURERIE!$I$17</definedName>
    <definedName name="TVA20Terrasse">#REF!</definedName>
    <definedName name="TVA20Terrassement1">#REF!</definedName>
    <definedName name="TVA20Traitements1">#REF!</definedName>
    <definedName name="TVA20Ventilation1">#REF!</definedName>
    <definedName name="TVA20Zinguerie1">#REF!</definedName>
    <definedName name="TVA55Amenagementsexterieurs1">'AMÉNAGEMENTS EXTÉRIEURS'!$I$19</definedName>
    <definedName name="TVA55Amenagementsinterieurs1">#REF!</definedName>
    <definedName name="TVA55Bacacier1">'BAC ACIER'!$I$33</definedName>
    <definedName name="TVA55Carrelagefaience1">#REF!</definedName>
    <definedName name="TVA55Chape1">#REF!</definedName>
    <definedName name="TVA55Charpentebois1">#REF!</definedName>
    <definedName name="TVA55Charpentemetallique1">'CHARPENTE MÉTALLIQUE'!$I$20</definedName>
    <definedName name="TVA55Chassisdetoit1">'CHÂSSIS DE TOIT'!$I$23</definedName>
    <definedName name="TVA55Chauffage1">#REF!</definedName>
    <definedName name="TVA55Cloisonsseches1">#REF!</definedName>
    <definedName name="TVA55Couverture1">#REF!</definedName>
    <definedName name="TVA55Demolitions1">'DÉMOLITIONS - MODIFICATIONS'!$I$30</definedName>
    <definedName name="TVA55Electricite1">#REF!</definedName>
    <definedName name="TVA55Escalier1">ESCALIER!$I$26</definedName>
    <definedName name="TVA55Etancheite1">ÉTANCHÉITÉ!$I$49</definedName>
    <definedName name="TVA55Gouttieres1">#REF!</definedName>
    <definedName name="TVA55Isolationthermique1">#REF!</definedName>
    <definedName name="TVA55Maconnerie1">#REF!</definedName>
    <definedName name="TVA55Menuiseriesexterieures1">#REF!</definedName>
    <definedName name="TVA55Peinture1">PEINTURE!$I$30</definedName>
    <definedName name="TVA55Plafondssuspendus1">'PLAFONDS SUSPENDUS'!$I$19</definedName>
    <definedName name="TVA55Platrerie1">PLÂTRERIE!$I$33</definedName>
    <definedName name="TVA55Plomberie1">#REF!</definedName>
    <definedName name="TVA55Portesinterieures1">#REF!</definedName>
    <definedName name="TVA55Prestations1">#REF!</definedName>
    <definedName name="TVA55Prestations2">#REF!</definedName>
    <definedName name="TVA55Ravalementdefacades1">#REF!</definedName>
    <definedName name="TVA55Revetementsdesol1">#REF!</definedName>
    <definedName name="TVA55Serrurerie1">SERRURERIE!$I$19</definedName>
    <definedName name="TVA55Terrasse">#REF!</definedName>
    <definedName name="TVA55Terrassement1">#REF!</definedName>
    <definedName name="TVA55Traitements1">#REF!</definedName>
    <definedName name="TVA55Ventilation1">#REF!</definedName>
    <definedName name="TVA55Zinguerie1">#REF!</definedName>
    <definedName name="Vitrage">PROGRAMME!$M$5:$M$10</definedName>
    <definedName name="vitrages">Ouvertures!$J$43:$J$47</definedName>
    <definedName name="_xlnm.Print_Area" localSheetId="15">'AMÉNAGEMENTS EXTÉRIEURS'!$C$1:$J$20</definedName>
    <definedName name="_xlnm.Print_Area" localSheetId="6">'BAC ACIER'!$C$1:$J$34</definedName>
    <definedName name="_xlnm.Print_Area" localSheetId="9">'CHARPENTE MÉTALLIQUE'!$C$1:$J$21</definedName>
    <definedName name="_xlnm.Print_Area" localSheetId="8">'CHÂSSIS DE TOIT'!$C$1:$J$24</definedName>
    <definedName name="_xlnm.Print_Area" localSheetId="5">'DÉMOLITIONS - MODIFICATIONS'!$C$1:$J$31</definedName>
    <definedName name="_xlnm.Print_Area" localSheetId="11">ESCALIER!$C$1:$J$27</definedName>
    <definedName name="_xlnm.Print_Area" localSheetId="7">ÉTANCHÉITÉ!$C$1:$J$50</definedName>
    <definedName name="_xlnm.Print_Area" localSheetId="14">PEINTURE!$C$1:$J$31</definedName>
    <definedName name="_xlnm.Print_Area" localSheetId="12">'PLAFONDS SUSPENDUS'!$C$1:$J$20</definedName>
    <definedName name="_xlnm.Print_Area" localSheetId="13">PLÂTRERIE!$C$1:$J$34</definedName>
    <definedName name="_xlnm.Print_Area" localSheetId="10">SERRURERIE!$C$1:$J$20</definedName>
  </definedNames>
  <calcPr calcId="145621"/>
</workbook>
</file>

<file path=xl/calcChain.xml><?xml version="1.0" encoding="utf-8"?>
<calcChain xmlns="http://schemas.openxmlformats.org/spreadsheetml/2006/main">
  <c r="A39" i="150" l="1"/>
  <c r="A40" i="150"/>
  <c r="A41" i="150"/>
  <c r="A42" i="150"/>
  <c r="A43" i="150"/>
  <c r="A44" i="150"/>
  <c r="A45" i="150"/>
  <c r="A46" i="150"/>
  <c r="A47" i="150"/>
  <c r="A48" i="150"/>
  <c r="A49" i="150"/>
  <c r="A50" i="150"/>
  <c r="A51" i="150"/>
  <c r="A52" i="150"/>
  <c r="A53" i="150"/>
  <c r="A54" i="150"/>
  <c r="A55" i="150"/>
  <c r="A56" i="150"/>
  <c r="A57" i="150"/>
  <c r="A58" i="150"/>
  <c r="A59" i="150"/>
  <c r="A60" i="150"/>
  <c r="A61" i="150"/>
  <c r="A62" i="150"/>
  <c r="A63" i="150"/>
  <c r="A64" i="150"/>
  <c r="A65" i="150"/>
  <c r="A66" i="150"/>
  <c r="A67" i="150"/>
  <c r="A68" i="150"/>
  <c r="A69" i="150"/>
  <c r="A70" i="150"/>
  <c r="A71" i="150"/>
  <c r="A72" i="150"/>
  <c r="A73" i="150"/>
  <c r="A2" i="150" a="1"/>
  <c r="A2" i="150" s="1"/>
  <c r="B47" i="150"/>
  <c r="B51" i="150"/>
  <c r="B55" i="150"/>
  <c r="B59" i="150"/>
  <c r="B63" i="150"/>
  <c r="B67" i="150"/>
  <c r="B71" i="150"/>
  <c r="B48" i="150"/>
  <c r="B52" i="150"/>
  <c r="B56" i="150"/>
  <c r="B60" i="150"/>
  <c r="B64" i="150"/>
  <c r="B68" i="150"/>
  <c r="B72" i="150"/>
  <c r="B49" i="150"/>
  <c r="B53" i="150"/>
  <c r="B57" i="150"/>
  <c r="B61" i="150"/>
  <c r="B65" i="150"/>
  <c r="B69" i="150"/>
  <c r="B73" i="150"/>
  <c r="B50" i="150"/>
  <c r="B54" i="150"/>
  <c r="B58" i="150"/>
  <c r="B62" i="150"/>
  <c r="B66" i="150"/>
  <c r="B70" i="150"/>
  <c r="B39" i="150"/>
  <c r="B40" i="150"/>
  <c r="B41" i="150"/>
  <c r="B45" i="150"/>
  <c r="B42" i="150"/>
  <c r="B46" i="150"/>
  <c r="B43" i="150"/>
  <c r="B44" i="150"/>
  <c r="K2" i="150" l="1"/>
  <c r="M2" i="150"/>
  <c r="O2" i="150"/>
  <c r="G2" i="150"/>
  <c r="I2" i="150"/>
  <c r="A3" i="150" a="1"/>
  <c r="A3" i="150" s="1"/>
  <c r="L2" i="150"/>
  <c r="H2" i="150"/>
  <c r="N2" i="150"/>
  <c r="F2" i="150"/>
  <c r="J2" i="150"/>
  <c r="I3" i="150" l="1"/>
  <c r="O3" i="150"/>
  <c r="K3" i="150"/>
  <c r="M3" i="150"/>
  <c r="A4" i="150" a="1"/>
  <c r="A4" i="150" s="1"/>
  <c r="G3" i="150"/>
  <c r="H3" i="150"/>
  <c r="J3" i="150"/>
  <c r="N3" i="150"/>
  <c r="F3" i="150"/>
  <c r="L3" i="150"/>
  <c r="I3" i="148"/>
  <c r="I4" i="148"/>
  <c r="I5" i="148"/>
  <c r="I6" i="148"/>
  <c r="I7" i="148"/>
  <c r="I8" i="148"/>
  <c r="I9" i="148"/>
  <c r="I10" i="148"/>
  <c r="I11" i="148"/>
  <c r="I12" i="148"/>
  <c r="I13" i="148"/>
  <c r="I14" i="148"/>
  <c r="I15" i="148"/>
  <c r="I16" i="148"/>
  <c r="I17" i="148"/>
  <c r="I18" i="148"/>
  <c r="I19" i="148"/>
  <c r="I20" i="148"/>
  <c r="I21" i="148"/>
  <c r="I22" i="148"/>
  <c r="I23" i="148"/>
  <c r="I24" i="148"/>
  <c r="I25" i="148"/>
  <c r="I26" i="148"/>
  <c r="I27" i="148"/>
  <c r="I28" i="148"/>
  <c r="I29" i="148"/>
  <c r="I30" i="148"/>
  <c r="I31" i="148"/>
  <c r="I32" i="148"/>
  <c r="I33" i="148"/>
  <c r="I34" i="148"/>
  <c r="I35" i="148"/>
  <c r="I36" i="148"/>
  <c r="Q2" i="148"/>
  <c r="Q3" i="148"/>
  <c r="Q4" i="148"/>
  <c r="Q5" i="148"/>
  <c r="Q6" i="148"/>
  <c r="Q7" i="148"/>
  <c r="Q8" i="148"/>
  <c r="Q9" i="148"/>
  <c r="Q10" i="148"/>
  <c r="Q11" i="148"/>
  <c r="Q12" i="148"/>
  <c r="Q13" i="148"/>
  <c r="Q14" i="148"/>
  <c r="Q15" i="148"/>
  <c r="Q16" i="148"/>
  <c r="Q17" i="148"/>
  <c r="Q18" i="148"/>
  <c r="Q19" i="148"/>
  <c r="Q20" i="148"/>
  <c r="Q21" i="148"/>
  <c r="Q22" i="148"/>
  <c r="Q23" i="148"/>
  <c r="Q24" i="148"/>
  <c r="Q25" i="148"/>
  <c r="Q26" i="148"/>
  <c r="Q27" i="148"/>
  <c r="Q28" i="148"/>
  <c r="Q29" i="148"/>
  <c r="Q30" i="148"/>
  <c r="Q31" i="148"/>
  <c r="Q32" i="148"/>
  <c r="Q33" i="148"/>
  <c r="Q34" i="148"/>
  <c r="Q35" i="148"/>
  <c r="Q36" i="148"/>
  <c r="R2" i="148"/>
  <c r="R3" i="148"/>
  <c r="R4" i="148"/>
  <c r="R5" i="148"/>
  <c r="R6" i="148"/>
  <c r="R7" i="148"/>
  <c r="R8" i="148"/>
  <c r="R9" i="148"/>
  <c r="R10" i="148"/>
  <c r="R11" i="148"/>
  <c r="R12" i="148"/>
  <c r="R13" i="148"/>
  <c r="R14" i="148"/>
  <c r="R15" i="148"/>
  <c r="R16" i="148"/>
  <c r="R17" i="148"/>
  <c r="R18" i="148"/>
  <c r="R19" i="148"/>
  <c r="R20" i="148"/>
  <c r="R21" i="148"/>
  <c r="R22" i="148"/>
  <c r="R23" i="148"/>
  <c r="R24" i="148"/>
  <c r="R25" i="148"/>
  <c r="R26" i="148"/>
  <c r="R27" i="148"/>
  <c r="R28" i="148"/>
  <c r="R29" i="148"/>
  <c r="R30" i="148"/>
  <c r="R31" i="148"/>
  <c r="R32" i="148"/>
  <c r="R33" i="148"/>
  <c r="R34" i="148"/>
  <c r="R35" i="148"/>
  <c r="R36" i="148"/>
  <c r="M4" i="150" l="1"/>
  <c r="O4" i="150"/>
  <c r="K4" i="150"/>
  <c r="G4" i="150"/>
  <c r="I4" i="150"/>
  <c r="A5" i="150" a="1"/>
  <c r="A5" i="150" s="1"/>
  <c r="N4" i="150"/>
  <c r="H4" i="150"/>
  <c r="J4" i="150"/>
  <c r="F4" i="150"/>
  <c r="L4" i="150"/>
  <c r="D3" i="148"/>
  <c r="J9" i="144" s="1"/>
  <c r="I9" i="144" s="1"/>
  <c r="D4" i="148"/>
  <c r="D5" i="148"/>
  <c r="J7" i="144" s="1"/>
  <c r="I7" i="144" s="1"/>
  <c r="D6" i="148"/>
  <c r="D7" i="148"/>
  <c r="D8" i="148"/>
  <c r="D9" i="148"/>
  <c r="D10" i="148"/>
  <c r="D11" i="148"/>
  <c r="D12" i="148"/>
  <c r="D13" i="148"/>
  <c r="D14" i="148"/>
  <c r="D15" i="148"/>
  <c r="D16" i="148"/>
  <c r="D17" i="148"/>
  <c r="D18" i="148"/>
  <c r="D19" i="148"/>
  <c r="D20" i="148"/>
  <c r="D21" i="148"/>
  <c r="D22" i="148"/>
  <c r="D23" i="148"/>
  <c r="D24" i="148"/>
  <c r="D25" i="148"/>
  <c r="D26" i="148"/>
  <c r="D27" i="148"/>
  <c r="D28" i="148"/>
  <c r="D29" i="148"/>
  <c r="D30" i="148"/>
  <c r="D31" i="148"/>
  <c r="D32" i="148"/>
  <c r="D33" i="148"/>
  <c r="D34" i="148"/>
  <c r="D35" i="148"/>
  <c r="D36" i="148"/>
  <c r="J6" i="144"/>
  <c r="I6" i="144" s="1"/>
  <c r="J8" i="144"/>
  <c r="I8" i="144" s="1"/>
  <c r="J10" i="144"/>
  <c r="I10" i="144" s="1"/>
  <c r="J11" i="144"/>
  <c r="I11" i="144" s="1"/>
  <c r="J12" i="144"/>
  <c r="I12" i="144" s="1"/>
  <c r="J5" i="144"/>
  <c r="K5" i="150" l="1"/>
  <c r="M5" i="150"/>
  <c r="O5" i="150"/>
  <c r="G5" i="150"/>
  <c r="I5" i="150"/>
  <c r="A6" i="150" a="1"/>
  <c r="A6" i="150" s="1"/>
  <c r="J5" i="150"/>
  <c r="F5" i="150"/>
  <c r="N5" i="150"/>
  <c r="H5" i="150"/>
  <c r="L5" i="150"/>
  <c r="J13" i="144"/>
  <c r="L3" i="148"/>
  <c r="L4" i="148"/>
  <c r="L5" i="148"/>
  <c r="L6" i="148"/>
  <c r="L7" i="148"/>
  <c r="L8" i="148"/>
  <c r="L9" i="148"/>
  <c r="L10" i="148"/>
  <c r="L11" i="148"/>
  <c r="L12" i="148"/>
  <c r="L13" i="148"/>
  <c r="L14" i="148"/>
  <c r="L15" i="148"/>
  <c r="L16" i="148"/>
  <c r="L17" i="148"/>
  <c r="L18" i="148"/>
  <c r="L19" i="148"/>
  <c r="L20" i="148"/>
  <c r="L21" i="148"/>
  <c r="L22" i="148"/>
  <c r="L23" i="148"/>
  <c r="L24" i="148"/>
  <c r="L25" i="148"/>
  <c r="L26" i="148"/>
  <c r="L27" i="148"/>
  <c r="L28" i="148"/>
  <c r="L29" i="148"/>
  <c r="L30" i="148"/>
  <c r="L31" i="148"/>
  <c r="L32" i="148"/>
  <c r="L33" i="148"/>
  <c r="L34" i="148"/>
  <c r="L35" i="148"/>
  <c r="L36" i="148"/>
  <c r="C19" i="126"/>
  <c r="C17" i="126"/>
  <c r="C15" i="126"/>
  <c r="I14" i="126"/>
  <c r="I15" i="126"/>
  <c r="I16" i="126"/>
  <c r="I17" i="126"/>
  <c r="J14" i="126"/>
  <c r="J15" i="126"/>
  <c r="J16" i="126"/>
  <c r="J17" i="126"/>
  <c r="I18" i="126"/>
  <c r="I19" i="126"/>
  <c r="J18" i="126"/>
  <c r="J19" i="126"/>
  <c r="I20" i="126"/>
  <c r="J20" i="126"/>
  <c r="K6" i="150" l="1"/>
  <c r="M6" i="150"/>
  <c r="O6" i="150"/>
  <c r="N6" i="150"/>
  <c r="I6" i="150"/>
  <c r="H6" i="150"/>
  <c r="J6" i="150"/>
  <c r="F6" i="150"/>
  <c r="L6" i="150"/>
  <c r="A7" i="150" a="1"/>
  <c r="A7" i="150" s="1"/>
  <c r="G6" i="150"/>
  <c r="I5" i="144"/>
  <c r="L2" i="148"/>
  <c r="F2" i="148"/>
  <c r="F3" i="148"/>
  <c r="F4" i="148"/>
  <c r="F5" i="148"/>
  <c r="F6" i="148"/>
  <c r="F7" i="148"/>
  <c r="F8" i="148"/>
  <c r="F9" i="148"/>
  <c r="F10" i="148"/>
  <c r="F11" i="148"/>
  <c r="F12" i="148"/>
  <c r="F13" i="148"/>
  <c r="F14" i="148"/>
  <c r="F15" i="148"/>
  <c r="F16" i="148"/>
  <c r="F17" i="148"/>
  <c r="F18" i="148"/>
  <c r="F19" i="148"/>
  <c r="F20" i="148"/>
  <c r="F21" i="148"/>
  <c r="F22" i="148"/>
  <c r="F23" i="148"/>
  <c r="F24" i="148"/>
  <c r="F25" i="148"/>
  <c r="F26" i="148"/>
  <c r="F27" i="148"/>
  <c r="F28" i="148"/>
  <c r="F29" i="148"/>
  <c r="F30" i="148"/>
  <c r="F31" i="148"/>
  <c r="F32" i="148"/>
  <c r="F33" i="148"/>
  <c r="F34" i="148"/>
  <c r="F35" i="148"/>
  <c r="F36" i="148"/>
  <c r="D5" i="150" l="1"/>
  <c r="B5" i="150"/>
  <c r="D6" i="150"/>
  <c r="E6" i="150"/>
  <c r="B6" i="150"/>
  <c r="C6" i="150"/>
  <c r="D4" i="150"/>
  <c r="B4" i="150"/>
  <c r="C2" i="150"/>
  <c r="E2" i="150"/>
  <c r="C3" i="150"/>
  <c r="D3" i="150"/>
  <c r="E3" i="150"/>
  <c r="B3" i="150"/>
  <c r="C4" i="150"/>
  <c r="E4" i="150"/>
  <c r="E5" i="150"/>
  <c r="C5" i="150"/>
  <c r="C7" i="150"/>
  <c r="E7" i="150"/>
  <c r="I7" i="150"/>
  <c r="O7" i="150"/>
  <c r="K7" i="150"/>
  <c r="M7" i="150"/>
  <c r="D2" i="150"/>
  <c r="B2" i="150"/>
  <c r="G7" i="150"/>
  <c r="H7" i="150"/>
  <c r="L7" i="150"/>
  <c r="F7" i="150"/>
  <c r="B7" i="150"/>
  <c r="N7" i="150"/>
  <c r="J7" i="150"/>
  <c r="D7" i="150"/>
  <c r="A8" i="150" a="1"/>
  <c r="A8" i="150" s="1"/>
  <c r="C8" i="150" l="1"/>
  <c r="E8" i="150"/>
  <c r="I8" i="150"/>
  <c r="M8" i="150"/>
  <c r="O8" i="150"/>
  <c r="K8" i="150"/>
  <c r="A9" i="150" a="1"/>
  <c r="A9" i="150" s="1"/>
  <c r="G8" i="150"/>
  <c r="J8" i="150"/>
  <c r="N8" i="150"/>
  <c r="D8" i="150"/>
  <c r="F8" i="150"/>
  <c r="H8" i="150"/>
  <c r="L8" i="150"/>
  <c r="B8" i="150"/>
  <c r="C9" i="150" l="1"/>
  <c r="E9" i="150"/>
  <c r="K9" i="150"/>
  <c r="M9" i="150"/>
  <c r="O9" i="150"/>
  <c r="A10" i="150" a="1"/>
  <c r="A10" i="150" s="1"/>
  <c r="I9" i="150"/>
  <c r="G9" i="150"/>
  <c r="D9" i="150"/>
  <c r="J9" i="150"/>
  <c r="L9" i="150"/>
  <c r="B9" i="150"/>
  <c r="H9" i="150"/>
  <c r="N9" i="150"/>
  <c r="F9" i="150"/>
  <c r="C10" i="150" l="1"/>
  <c r="E10" i="150"/>
  <c r="I10" i="150"/>
  <c r="M10" i="150"/>
  <c r="O10" i="150"/>
  <c r="K10" i="150"/>
  <c r="D10" i="150"/>
  <c r="L10" i="150"/>
  <c r="B10" i="150"/>
  <c r="H10" i="150"/>
  <c r="F10" i="150"/>
  <c r="G10" i="150"/>
  <c r="A11" i="150" a="1"/>
  <c r="A11" i="150" s="1"/>
  <c r="N10" i="150"/>
  <c r="J10" i="150"/>
  <c r="C11" i="150" l="1"/>
  <c r="E11" i="150"/>
  <c r="I11" i="150"/>
  <c r="O11" i="150"/>
  <c r="K11" i="150"/>
  <c r="M11" i="150"/>
  <c r="L11" i="150"/>
  <c r="D11" i="150"/>
  <c r="J11" i="150"/>
  <c r="F11" i="150"/>
  <c r="N11" i="150"/>
  <c r="B11" i="150"/>
  <c r="A12" i="150" a="1"/>
  <c r="A12" i="150" s="1"/>
  <c r="G11" i="150"/>
  <c r="H11" i="150"/>
  <c r="C12" i="150" l="1"/>
  <c r="E12" i="150"/>
  <c r="I12" i="150"/>
  <c r="M12" i="150"/>
  <c r="O12" i="150"/>
  <c r="K12" i="150"/>
  <c r="L12" i="150"/>
  <c r="J12" i="150"/>
  <c r="D12" i="150"/>
  <c r="B12" i="150"/>
  <c r="A13" i="150" a="1"/>
  <c r="A13" i="150" s="1"/>
  <c r="H12" i="150"/>
  <c r="G12" i="150"/>
  <c r="N12" i="150"/>
  <c r="F12" i="150"/>
  <c r="C13" i="150" l="1"/>
  <c r="E13" i="150"/>
  <c r="I13" i="150"/>
  <c r="K13" i="150"/>
  <c r="M13" i="150"/>
  <c r="O13" i="150"/>
  <c r="H13" i="150"/>
  <c r="N13" i="150"/>
  <c r="J13" i="150"/>
  <c r="F13" i="150"/>
  <c r="B13" i="150"/>
  <c r="D13" i="150"/>
  <c r="L13" i="150"/>
  <c r="G13" i="150"/>
  <c r="A14" i="150" a="1"/>
  <c r="A14" i="150" s="1"/>
  <c r="C14" i="150" l="1"/>
  <c r="E14" i="150"/>
  <c r="I14" i="150"/>
  <c r="K14" i="150"/>
  <c r="M14" i="150"/>
  <c r="O14" i="150"/>
  <c r="L14" i="150"/>
  <c r="J14" i="150"/>
  <c r="F14" i="150"/>
  <c r="D14" i="150"/>
  <c r="B14" i="150"/>
  <c r="N14" i="150"/>
  <c r="A15" i="150" a="1"/>
  <c r="A15" i="150" s="1"/>
  <c r="H14" i="150"/>
  <c r="G14" i="150"/>
  <c r="C15" i="150" l="1"/>
  <c r="E15" i="150"/>
  <c r="I15" i="150"/>
  <c r="O15" i="150"/>
  <c r="K15" i="150"/>
  <c r="M15" i="150"/>
  <c r="D15" i="150"/>
  <c r="B15" i="150"/>
  <c r="J15" i="150"/>
  <c r="H15" i="150"/>
  <c r="A16" i="150" a="1"/>
  <c r="A16" i="150" s="1"/>
  <c r="F15" i="150"/>
  <c r="G15" i="150"/>
  <c r="N15" i="150"/>
  <c r="L15" i="150"/>
  <c r="C16" i="150" l="1"/>
  <c r="E16" i="150"/>
  <c r="I16" i="150"/>
  <c r="M16" i="150"/>
  <c r="O16" i="150"/>
  <c r="K16" i="150"/>
  <c r="N16" i="150"/>
  <c r="J16" i="150"/>
  <c r="A17" i="150" a="1"/>
  <c r="A17" i="150" s="1"/>
  <c r="H16" i="150"/>
  <c r="G16" i="150"/>
  <c r="L16" i="150"/>
  <c r="F16" i="150"/>
  <c r="D16" i="150"/>
  <c r="B16" i="150"/>
  <c r="C17" i="150" l="1"/>
  <c r="E17" i="150"/>
  <c r="J17" i="150"/>
  <c r="K17" i="150"/>
  <c r="M17" i="150"/>
  <c r="O17" i="150"/>
  <c r="D17" i="150"/>
  <c r="L17" i="150"/>
  <c r="B17" i="150"/>
  <c r="G17" i="150"/>
  <c r="F17" i="150"/>
  <c r="H17" i="150"/>
  <c r="N17" i="150"/>
  <c r="A18" i="150" a="1"/>
  <c r="A18" i="150" s="1"/>
  <c r="I17" i="150"/>
  <c r="C18" i="150" l="1"/>
  <c r="E18" i="150"/>
  <c r="M18" i="150"/>
  <c r="O18" i="150"/>
  <c r="K18" i="150"/>
  <c r="I18" i="150"/>
  <c r="N18" i="150"/>
  <c r="J18" i="150"/>
  <c r="L18" i="150"/>
  <c r="F18" i="150"/>
  <c r="H18" i="150"/>
  <c r="B18" i="150"/>
  <c r="G18" i="150"/>
  <c r="D18" i="150"/>
  <c r="A19" i="150" a="1"/>
  <c r="A19" i="150" s="1"/>
  <c r="C19" i="150" l="1"/>
  <c r="E19" i="150"/>
  <c r="O19" i="150"/>
  <c r="K19" i="150"/>
  <c r="M19" i="150"/>
  <c r="I19" i="150"/>
  <c r="N19" i="150"/>
  <c r="J19" i="150"/>
  <c r="L19" i="150"/>
  <c r="D19" i="150"/>
  <c r="F19" i="150"/>
  <c r="B19" i="150"/>
  <c r="G19" i="150"/>
  <c r="H19" i="150"/>
  <c r="A20" i="150" a="1"/>
  <c r="A20" i="150" s="1"/>
  <c r="C20" i="150" l="1"/>
  <c r="E20" i="150"/>
  <c r="M20" i="150"/>
  <c r="O20" i="150"/>
  <c r="K20" i="150"/>
  <c r="A21" i="150" a="1"/>
  <c r="A21" i="150" s="1"/>
  <c r="I20" i="150"/>
  <c r="L20" i="150"/>
  <c r="N20" i="150"/>
  <c r="H20" i="150"/>
  <c r="J20" i="150"/>
  <c r="D20" i="150"/>
  <c r="F20" i="150"/>
  <c r="G20" i="150"/>
  <c r="B20" i="150"/>
  <c r="C21" i="150" l="1"/>
  <c r="E21" i="150"/>
  <c r="A22" i="150" a="1"/>
  <c r="A22" i="150" s="1"/>
  <c r="E22" i="150" s="1"/>
  <c r="O21" i="150"/>
  <c r="K21" i="150"/>
  <c r="M21" i="150"/>
  <c r="I21" i="150"/>
  <c r="D21" i="150"/>
  <c r="H21" i="150"/>
  <c r="B21" i="150"/>
  <c r="F21" i="150"/>
  <c r="L21" i="150"/>
  <c r="J21" i="150"/>
  <c r="G21" i="150"/>
  <c r="N21" i="150"/>
  <c r="D22" i="150" l="1"/>
  <c r="C22" i="150"/>
  <c r="A23" i="150" a="1"/>
  <c r="A23" i="150" s="1"/>
  <c r="E23" i="150" s="1"/>
  <c r="B22" i="150"/>
  <c r="J22" i="150"/>
  <c r="F22" i="150"/>
  <c r="N22" i="150"/>
  <c r="I22" i="150"/>
  <c r="G22" i="150"/>
  <c r="L22" i="150"/>
  <c r="H22" i="150"/>
  <c r="K22" i="150"/>
  <c r="M22" i="150"/>
  <c r="O22" i="150"/>
  <c r="H23" i="150" l="1"/>
  <c r="C23" i="150"/>
  <c r="F23" i="150"/>
  <c r="J23" i="150"/>
  <c r="I23" i="150"/>
  <c r="G23" i="150"/>
  <c r="N23" i="150"/>
  <c r="D23" i="150"/>
  <c r="L23" i="150"/>
  <c r="A24" i="150" a="1"/>
  <c r="A24" i="150" s="1"/>
  <c r="B23" i="150"/>
  <c r="O23" i="150"/>
  <c r="K23" i="150"/>
  <c r="M23" i="150"/>
  <c r="C24" i="150" l="1"/>
  <c r="E24" i="150"/>
  <c r="A25" i="150" a="1"/>
  <c r="A25" i="150" s="1"/>
  <c r="E25" i="150" s="1"/>
  <c r="M24" i="150"/>
  <c r="O24" i="150"/>
  <c r="K24" i="150"/>
  <c r="N24" i="150"/>
  <c r="F24" i="150"/>
  <c r="I24" i="150"/>
  <c r="B24" i="150"/>
  <c r="G24" i="150"/>
  <c r="D24" i="150"/>
  <c r="L24" i="150"/>
  <c r="J24" i="150"/>
  <c r="H24" i="150"/>
  <c r="A26" i="150" l="1" a="1"/>
  <c r="A26" i="150" s="1"/>
  <c r="C25" i="150"/>
  <c r="K25" i="150"/>
  <c r="M25" i="150"/>
  <c r="O25" i="150"/>
  <c r="I25" i="150"/>
  <c r="N25" i="150"/>
  <c r="B25" i="150"/>
  <c r="J25" i="150"/>
  <c r="G25" i="150"/>
  <c r="D25" i="150"/>
  <c r="L25" i="150"/>
  <c r="F25" i="150"/>
  <c r="H25" i="150"/>
  <c r="C26" i="150" l="1"/>
  <c r="E26" i="150"/>
  <c r="L26" i="150"/>
  <c r="A27" i="150" a="1"/>
  <c r="A27" i="150" s="1"/>
  <c r="D26" i="150"/>
  <c r="K26" i="150"/>
  <c r="B26" i="150"/>
  <c r="H26" i="150"/>
  <c r="F26" i="150"/>
  <c r="I26" i="150"/>
  <c r="N26" i="150"/>
  <c r="M26" i="150"/>
  <c r="G26" i="150"/>
  <c r="J26" i="150"/>
  <c r="O26" i="150"/>
  <c r="L27" i="150" l="1"/>
  <c r="E27" i="150"/>
  <c r="M27" i="150"/>
  <c r="J27" i="150"/>
  <c r="D27" i="150"/>
  <c r="B27" i="150"/>
  <c r="O27" i="150"/>
  <c r="G27" i="150"/>
  <c r="N27" i="150"/>
  <c r="K27" i="150"/>
  <c r="F27" i="150"/>
  <c r="H27" i="150"/>
  <c r="I27" i="150"/>
  <c r="A28" i="150" a="1"/>
  <c r="A28" i="150" s="1"/>
  <c r="C27" i="150"/>
  <c r="A29" i="150" l="1" a="1"/>
  <c r="A29" i="150" s="1"/>
  <c r="E29" i="150" s="1"/>
  <c r="E28" i="150"/>
  <c r="C28" i="150"/>
  <c r="K28" i="150"/>
  <c r="D28" i="150"/>
  <c r="G28" i="150"/>
  <c r="M28" i="150"/>
  <c r="N28" i="150"/>
  <c r="B28" i="150"/>
  <c r="I28" i="150"/>
  <c r="J28" i="150"/>
  <c r="O28" i="150"/>
  <c r="F28" i="150"/>
  <c r="L28" i="150"/>
  <c r="H28" i="150"/>
  <c r="O29" i="150" l="1"/>
  <c r="B29" i="150"/>
  <c r="F29" i="150"/>
  <c r="A30" i="150" a="1"/>
  <c r="A30" i="150" s="1"/>
  <c r="K30" i="150" s="1"/>
  <c r="H29" i="150"/>
  <c r="I29" i="150"/>
  <c r="K29" i="150"/>
  <c r="G29" i="150"/>
  <c r="N29" i="150"/>
  <c r="L29" i="150"/>
  <c r="C29" i="150"/>
  <c r="J29" i="150"/>
  <c r="M29" i="150"/>
  <c r="D29" i="150"/>
  <c r="M30" i="150" l="1"/>
  <c r="D30" i="150"/>
  <c r="J30" i="150"/>
  <c r="N30" i="150"/>
  <c r="H30" i="150"/>
  <c r="B30" i="150"/>
  <c r="F30" i="150"/>
  <c r="L30" i="150"/>
  <c r="G30" i="150"/>
  <c r="O30" i="150"/>
  <c r="I30" i="150"/>
  <c r="C30" i="150"/>
  <c r="E30" i="150"/>
  <c r="A31" i="150" a="1"/>
  <c r="A31" i="150" s="1"/>
  <c r="A32" i="150" s="1" a="1"/>
  <c r="A32" i="150" s="1"/>
  <c r="J12" i="113"/>
  <c r="J12" i="116"/>
  <c r="J12" i="118"/>
  <c r="J12" i="119"/>
  <c r="J12" i="122"/>
  <c r="J12" i="123"/>
  <c r="J12" i="126"/>
  <c r="J12" i="131"/>
  <c r="J12" i="129"/>
  <c r="J12" i="139"/>
  <c r="J12" i="141"/>
  <c r="C32" i="150" l="1"/>
  <c r="E32" i="150"/>
  <c r="C31" i="150"/>
  <c r="E31" i="150"/>
  <c r="I31" i="150"/>
  <c r="M31" i="150"/>
  <c r="D31" i="150"/>
  <c r="B31" i="150"/>
  <c r="N31" i="150"/>
  <c r="J31" i="150"/>
  <c r="O31" i="150"/>
  <c r="F31" i="150"/>
  <c r="G31" i="150"/>
  <c r="H31" i="150"/>
  <c r="L31" i="150"/>
  <c r="K31" i="150"/>
  <c r="A33" i="150" a="1"/>
  <c r="A33" i="150" s="1"/>
  <c r="F32" i="150"/>
  <c r="L32" i="150"/>
  <c r="K32" i="150"/>
  <c r="G32" i="150"/>
  <c r="J32" i="150"/>
  <c r="O32" i="150"/>
  <c r="B32" i="150"/>
  <c r="N32" i="150"/>
  <c r="M32" i="150"/>
  <c r="D32" i="150"/>
  <c r="H32" i="150"/>
  <c r="I32" i="150"/>
  <c r="C33" i="150" l="1"/>
  <c r="E33" i="150"/>
  <c r="A34" i="150" a="1"/>
  <c r="A34" i="150" s="1"/>
  <c r="K33" i="150"/>
  <c r="O33" i="150"/>
  <c r="J33" i="150"/>
  <c r="F33" i="150"/>
  <c r="M33" i="150"/>
  <c r="L33" i="150"/>
  <c r="B33" i="150"/>
  <c r="N33" i="150"/>
  <c r="D33" i="150"/>
  <c r="G33" i="150"/>
  <c r="H33" i="150"/>
  <c r="I33" i="150"/>
  <c r="C34" i="150" l="1"/>
  <c r="E34" i="150"/>
  <c r="G34" i="150"/>
  <c r="H34" i="150"/>
  <c r="M34" i="150"/>
  <c r="N34" i="150"/>
  <c r="J34" i="150"/>
  <c r="F34" i="150"/>
  <c r="O34" i="150"/>
  <c r="L34" i="150"/>
  <c r="B34" i="150"/>
  <c r="K34" i="150"/>
  <c r="A35" i="150" a="1"/>
  <c r="A35" i="150" s="1"/>
  <c r="D34" i="150"/>
  <c r="I34" i="150"/>
  <c r="C35" i="150" l="1"/>
  <c r="E35" i="150"/>
  <c r="A36" i="150" a="1"/>
  <c r="A36" i="150" s="1"/>
  <c r="K35" i="150"/>
  <c r="N35" i="150"/>
  <c r="L35" i="150"/>
  <c r="M35" i="150"/>
  <c r="D35" i="150"/>
  <c r="F35" i="150"/>
  <c r="J35" i="150"/>
  <c r="O35" i="150"/>
  <c r="H35" i="150"/>
  <c r="G35" i="150"/>
  <c r="B35" i="150"/>
  <c r="I35" i="150"/>
  <c r="C36" i="150" l="1"/>
  <c r="E36" i="150"/>
  <c r="G36" i="150"/>
  <c r="L36" i="150"/>
  <c r="N36" i="150"/>
  <c r="F36" i="150"/>
  <c r="K36" i="150"/>
  <c r="H36" i="150"/>
  <c r="B36" i="150"/>
  <c r="O36" i="150"/>
  <c r="M36" i="150"/>
  <c r="J36" i="150"/>
  <c r="D36" i="150"/>
  <c r="I36" i="150"/>
  <c r="G33" i="118" l="1"/>
  <c r="D35" i="118"/>
  <c r="D34" i="118"/>
  <c r="I34" i="118"/>
  <c r="J34" i="118"/>
  <c r="I35" i="118"/>
  <c r="J35" i="118"/>
  <c r="D23" i="118"/>
  <c r="G21" i="118"/>
  <c r="D22" i="118"/>
  <c r="I22" i="118"/>
  <c r="J22" i="118"/>
  <c r="I23" i="118"/>
  <c r="J23" i="118"/>
  <c r="G17" i="118"/>
  <c r="I18" i="118"/>
  <c r="J18" i="118"/>
  <c r="I19" i="118"/>
  <c r="J19" i="118"/>
  <c r="G31" i="118" l="1"/>
  <c r="I31" i="118"/>
  <c r="J31" i="118"/>
  <c r="G30" i="118"/>
  <c r="G26" i="118"/>
  <c r="I29" i="118"/>
  <c r="J29" i="118"/>
  <c r="I30" i="118"/>
  <c r="J30" i="118"/>
  <c r="I27" i="118"/>
  <c r="J27" i="118"/>
  <c r="C24" i="139"/>
  <c r="I24" i="139"/>
  <c r="J24" i="139"/>
  <c r="G21" i="139"/>
  <c r="G20" i="139"/>
  <c r="C15" i="139"/>
  <c r="I14" i="139"/>
  <c r="I15" i="139"/>
  <c r="I17" i="139"/>
  <c r="J14" i="139"/>
  <c r="J15" i="139"/>
  <c r="J16" i="139"/>
  <c r="J17" i="139"/>
  <c r="I18" i="139"/>
  <c r="I19" i="139"/>
  <c r="I20" i="139"/>
  <c r="J18" i="139"/>
  <c r="J19" i="139"/>
  <c r="J20" i="139"/>
  <c r="I21" i="139"/>
  <c r="J21" i="139"/>
  <c r="I22" i="139"/>
  <c r="J22" i="139"/>
  <c r="I23" i="139"/>
  <c r="J23" i="139"/>
  <c r="C16" i="139" l="1"/>
  <c r="G28" i="118"/>
  <c r="C20" i="139" l="1"/>
  <c r="C22" i="139" s="1"/>
  <c r="G18" i="139" l="1"/>
  <c r="G17" i="139"/>
  <c r="G36" i="118"/>
  <c r="J14" i="113"/>
  <c r="J15" i="113"/>
  <c r="J16" i="113"/>
  <c r="J17" i="113"/>
  <c r="J18" i="113"/>
  <c r="J19" i="113"/>
  <c r="J20" i="113"/>
  <c r="J21" i="113"/>
  <c r="J22" i="113"/>
  <c r="J23" i="113"/>
  <c r="J24" i="113"/>
  <c r="J25" i="113"/>
  <c r="G19" i="139" l="1"/>
  <c r="G16" i="139" s="1"/>
  <c r="I16" i="139" s="1"/>
  <c r="C23" i="129" l="1"/>
  <c r="C24" i="129" s="1"/>
  <c r="I23" i="129"/>
  <c r="J23" i="129"/>
  <c r="I24" i="129"/>
  <c r="J24" i="129"/>
  <c r="I25" i="129"/>
  <c r="J25" i="129"/>
  <c r="I26" i="129"/>
  <c r="J26" i="129"/>
  <c r="I27" i="129"/>
  <c r="J27" i="129"/>
  <c r="I22" i="129"/>
  <c r="J22" i="129"/>
  <c r="I21" i="129"/>
  <c r="J21" i="129"/>
  <c r="I20" i="129"/>
  <c r="J20" i="129"/>
  <c r="C19" i="129"/>
  <c r="C20" i="129" s="1"/>
  <c r="I19" i="129"/>
  <c r="J19" i="129"/>
  <c r="I18" i="129"/>
  <c r="J18" i="129"/>
  <c r="C17" i="129"/>
  <c r="I17" i="129"/>
  <c r="J17" i="129"/>
  <c r="I16" i="129"/>
  <c r="J16" i="129"/>
  <c r="C15" i="129"/>
  <c r="I15" i="129"/>
  <c r="J15" i="129"/>
  <c r="I14" i="129"/>
  <c r="J14" i="129"/>
  <c r="C25" i="129" l="1"/>
  <c r="C26" i="129" s="1"/>
  <c r="C27" i="129" s="1"/>
  <c r="C21" i="129"/>
  <c r="I14" i="122" l="1"/>
  <c r="J14" i="122"/>
  <c r="C15" i="119" l="1"/>
  <c r="C16" i="119" s="1"/>
  <c r="I14" i="119"/>
  <c r="I15" i="119"/>
  <c r="J14" i="119"/>
  <c r="J15" i="119"/>
  <c r="I17" i="119"/>
  <c r="J17" i="119"/>
  <c r="I16" i="119"/>
  <c r="J16" i="119"/>
  <c r="C17" i="119" l="1"/>
  <c r="G42" i="118"/>
  <c r="H33" i="118"/>
  <c r="H21" i="118"/>
  <c r="H17" i="118"/>
  <c r="G39" i="118" l="1"/>
  <c r="C38" i="118"/>
  <c r="C33" i="118"/>
  <c r="C36" i="118" s="1"/>
  <c r="C26" i="118"/>
  <c r="C28" i="118" s="1"/>
  <c r="C21" i="118"/>
  <c r="C24" i="118" s="1"/>
  <c r="C17" i="118"/>
  <c r="I14" i="118"/>
  <c r="I15" i="118"/>
  <c r="I16" i="118"/>
  <c r="I17" i="118"/>
  <c r="J14" i="118"/>
  <c r="J15" i="118"/>
  <c r="J16" i="118"/>
  <c r="J17" i="118"/>
  <c r="I20" i="118"/>
  <c r="I21" i="118"/>
  <c r="I24" i="118"/>
  <c r="I25" i="118"/>
  <c r="I26" i="118"/>
  <c r="I28" i="118"/>
  <c r="I32" i="118"/>
  <c r="I33" i="118"/>
  <c r="J20" i="118"/>
  <c r="J21" i="118"/>
  <c r="J24" i="118"/>
  <c r="J25" i="118"/>
  <c r="J26" i="118"/>
  <c r="J28" i="118"/>
  <c r="J32" i="118"/>
  <c r="J33" i="118"/>
  <c r="I36" i="118"/>
  <c r="I37" i="118"/>
  <c r="I38" i="118"/>
  <c r="I39" i="118"/>
  <c r="J36" i="118"/>
  <c r="J37" i="118"/>
  <c r="J38" i="118"/>
  <c r="J39" i="118"/>
  <c r="I40" i="118"/>
  <c r="I41" i="118"/>
  <c r="J40" i="118"/>
  <c r="J41" i="118"/>
  <c r="I42" i="118"/>
  <c r="J42" i="118"/>
  <c r="I43" i="118"/>
  <c r="J43" i="118"/>
  <c r="C39" i="118" l="1"/>
  <c r="C40" i="118" l="1"/>
  <c r="C41" i="118" s="1"/>
  <c r="C42" i="118" l="1"/>
  <c r="C43" i="118" s="1"/>
  <c r="C26" i="116"/>
  <c r="C27" i="116" s="1"/>
  <c r="C21" i="116"/>
  <c r="C19" i="116"/>
  <c r="C17" i="116"/>
  <c r="C15" i="116"/>
  <c r="J15" i="116"/>
  <c r="I14" i="116"/>
  <c r="I15" i="116"/>
  <c r="I16" i="116"/>
  <c r="I17" i="116"/>
  <c r="I18" i="116"/>
  <c r="I19" i="116"/>
  <c r="J14" i="116"/>
  <c r="J16" i="116"/>
  <c r="J17" i="116"/>
  <c r="J18" i="116"/>
  <c r="J19" i="116"/>
  <c r="I20" i="116"/>
  <c r="I21" i="116"/>
  <c r="I22" i="116"/>
  <c r="I23" i="116"/>
  <c r="J20" i="116"/>
  <c r="J21" i="116"/>
  <c r="J22" i="116"/>
  <c r="J23" i="116"/>
  <c r="I24" i="116"/>
  <c r="I25" i="116"/>
  <c r="J24" i="116"/>
  <c r="J25" i="116"/>
  <c r="I26" i="116"/>
  <c r="J26" i="116"/>
  <c r="I27" i="116"/>
  <c r="J27" i="116"/>
  <c r="C22" i="116" l="1"/>
  <c r="C23" i="116" s="1"/>
  <c r="C24" i="116" l="1"/>
  <c r="I22" i="113" l="1"/>
  <c r="I23" i="113"/>
  <c r="I24" i="113"/>
  <c r="I21" i="113" l="1"/>
  <c r="I20" i="113"/>
  <c r="I19" i="113"/>
  <c r="I18" i="113"/>
  <c r="I17" i="113"/>
  <c r="I16" i="113"/>
  <c r="C15" i="113"/>
  <c r="I15" i="113"/>
  <c r="I14" i="113"/>
  <c r="C16" i="113" l="1"/>
  <c r="C17" i="113" s="1"/>
  <c r="C18" i="113" l="1"/>
  <c r="J14" i="141"/>
  <c r="I19" i="141" s="1"/>
  <c r="I14" i="141"/>
  <c r="I16" i="141" s="1"/>
  <c r="E8" i="141"/>
  <c r="E7" i="141"/>
  <c r="E6" i="141"/>
  <c r="E4" i="141"/>
  <c r="E3" i="141"/>
  <c r="E2" i="141"/>
  <c r="E1" i="141"/>
  <c r="J25" i="139"/>
  <c r="I30" i="139" s="1"/>
  <c r="I25" i="139"/>
  <c r="I27" i="139" s="1"/>
  <c r="E8" i="139"/>
  <c r="E7" i="139"/>
  <c r="E6" i="139"/>
  <c r="E4" i="139"/>
  <c r="E3" i="139"/>
  <c r="E2" i="139"/>
  <c r="E1" i="139"/>
  <c r="C19" i="113" l="1"/>
  <c r="I17" i="141"/>
  <c r="I18" i="141"/>
  <c r="I28" i="139"/>
  <c r="I29" i="139"/>
  <c r="C20" i="113" l="1"/>
  <c r="C21" i="113"/>
  <c r="C22" i="113" s="1"/>
  <c r="I31" i="139"/>
  <c r="I20" i="141"/>
  <c r="J14" i="131"/>
  <c r="I19" i="131" s="1"/>
  <c r="I14" i="131"/>
  <c r="I16" i="131" s="1"/>
  <c r="E8" i="131"/>
  <c r="E7" i="131"/>
  <c r="E6" i="131"/>
  <c r="E4" i="131"/>
  <c r="E3" i="131"/>
  <c r="E2" i="131"/>
  <c r="E1" i="131"/>
  <c r="C23" i="113" l="1"/>
  <c r="C24" i="113" s="1"/>
  <c r="I17" i="131"/>
  <c r="I18" i="131"/>
  <c r="I20" i="131" s="1"/>
  <c r="J28" i="129"/>
  <c r="I33" i="129" s="1"/>
  <c r="I28" i="129"/>
  <c r="I30" i="129" s="1"/>
  <c r="E8" i="129"/>
  <c r="E7" i="129"/>
  <c r="E6" i="129"/>
  <c r="E4" i="129"/>
  <c r="E3" i="129"/>
  <c r="E2" i="129"/>
  <c r="E1" i="129"/>
  <c r="J21" i="126"/>
  <c r="I26" i="126" s="1"/>
  <c r="I21" i="126"/>
  <c r="I23" i="126" s="1"/>
  <c r="E8" i="126"/>
  <c r="E7" i="126"/>
  <c r="E6" i="126"/>
  <c r="E4" i="126"/>
  <c r="E3" i="126"/>
  <c r="E2" i="126"/>
  <c r="E1" i="126"/>
  <c r="J14" i="123"/>
  <c r="I19" i="123" s="1"/>
  <c r="I14" i="123"/>
  <c r="I16" i="123" s="1"/>
  <c r="E8" i="123"/>
  <c r="E7" i="123"/>
  <c r="E6" i="123"/>
  <c r="E4" i="123"/>
  <c r="E3" i="123"/>
  <c r="E2" i="123"/>
  <c r="E1" i="123"/>
  <c r="J15" i="122"/>
  <c r="I20" i="122" s="1"/>
  <c r="I15" i="122"/>
  <c r="I17" i="122" s="1"/>
  <c r="E8" i="122"/>
  <c r="E7" i="122"/>
  <c r="E6" i="122"/>
  <c r="E4" i="122"/>
  <c r="E3" i="122"/>
  <c r="E2" i="122"/>
  <c r="E1" i="122"/>
  <c r="J18" i="119"/>
  <c r="I23" i="119" s="1"/>
  <c r="I18" i="119"/>
  <c r="I20" i="119" s="1"/>
  <c r="E8" i="119"/>
  <c r="E7" i="119"/>
  <c r="E6" i="119"/>
  <c r="E4" i="119"/>
  <c r="E3" i="119"/>
  <c r="E2" i="119"/>
  <c r="E1" i="119"/>
  <c r="I31" i="129" l="1"/>
  <c r="I32" i="129"/>
  <c r="I24" i="126"/>
  <c r="I25" i="126"/>
  <c r="I17" i="123"/>
  <c r="I18" i="123"/>
  <c r="I18" i="122"/>
  <c r="I19" i="122"/>
  <c r="I21" i="119"/>
  <c r="I22" i="119"/>
  <c r="I21" i="122" l="1"/>
  <c r="I27" i="126"/>
  <c r="I34" i="129"/>
  <c r="I24" i="119"/>
  <c r="I20" i="123"/>
  <c r="J44" i="118" l="1"/>
  <c r="I49" i="118" s="1"/>
  <c r="I44" i="118"/>
  <c r="I46" i="118" s="1"/>
  <c r="E8" i="118"/>
  <c r="E7" i="118"/>
  <c r="E6" i="118"/>
  <c r="E4" i="118"/>
  <c r="E3" i="118"/>
  <c r="E2" i="118"/>
  <c r="E1" i="118"/>
  <c r="I48" i="118" l="1"/>
  <c r="I47" i="118"/>
  <c r="I33" i="116"/>
  <c r="J28" i="116"/>
  <c r="I32" i="116" s="1"/>
  <c r="I28" i="116"/>
  <c r="I30" i="116" s="1"/>
  <c r="E8" i="116"/>
  <c r="E7" i="116"/>
  <c r="E6" i="116"/>
  <c r="E4" i="116"/>
  <c r="E3" i="116"/>
  <c r="E2" i="116"/>
  <c r="E1" i="116"/>
  <c r="I50" i="118" l="1"/>
  <c r="I31" i="116"/>
  <c r="I34" i="116" s="1"/>
  <c r="I28" i="113" l="1"/>
  <c r="I25" i="113"/>
  <c r="I27" i="113" s="1"/>
  <c r="E8" i="113"/>
  <c r="E7" i="113"/>
  <c r="E6" i="113"/>
  <c r="E4" i="113"/>
  <c r="E3" i="113"/>
  <c r="E2" i="113"/>
  <c r="E1" i="113"/>
  <c r="I30" i="113" l="1"/>
  <c r="I29" i="113"/>
  <c r="I31" i="113" l="1"/>
  <c r="D4" i="139" l="1"/>
  <c r="D4" i="141"/>
  <c r="D4" i="131"/>
  <c r="D4" i="123"/>
  <c r="D4" i="126"/>
  <c r="D4" i="129"/>
  <c r="D4" i="119"/>
  <c r="D4" i="122"/>
  <c r="D4" i="118"/>
  <c r="D4" i="116"/>
  <c r="D4" i="113"/>
  <c r="D3" i="141"/>
  <c r="D3" i="139"/>
  <c r="D3" i="131"/>
  <c r="D3" i="126"/>
  <c r="D3" i="119"/>
  <c r="D3" i="122"/>
  <c r="D3" i="123"/>
  <c r="D3" i="129"/>
  <c r="D3" i="118"/>
  <c r="D3" i="116"/>
  <c r="D3" i="113"/>
  <c r="C8" i="139"/>
  <c r="C8" i="141"/>
  <c r="C8" i="131"/>
  <c r="C8" i="119"/>
  <c r="C8" i="122"/>
  <c r="C8" i="126"/>
  <c r="C8" i="129"/>
  <c r="C8" i="123"/>
  <c r="C8" i="118"/>
  <c r="C8" i="116"/>
  <c r="C8" i="113"/>
  <c r="D2" i="139" l="1"/>
  <c r="D2" i="141"/>
  <c r="D2" i="131"/>
  <c r="D2" i="119"/>
  <c r="D2" i="122"/>
  <c r="D2" i="123"/>
  <c r="D2" i="126"/>
  <c r="D2" i="129"/>
  <c r="D2" i="118"/>
  <c r="D2" i="116"/>
  <c r="D2" i="113"/>
  <c r="C15" i="118" l="1"/>
</calcChain>
</file>

<file path=xl/sharedStrings.xml><?xml version="1.0" encoding="utf-8"?>
<sst xmlns="http://schemas.openxmlformats.org/spreadsheetml/2006/main" count="891" uniqueCount="438">
  <si>
    <t>P.U.</t>
  </si>
  <si>
    <t>Signature et cachet de l'entreprise</t>
  </si>
  <si>
    <t>Fait à ………………………………………………………..  , le ………/………/…………………</t>
  </si>
  <si>
    <t>UN</t>
  </si>
  <si>
    <t>m²</t>
  </si>
  <si>
    <t>ml</t>
  </si>
  <si>
    <t>ens</t>
  </si>
  <si>
    <t>U</t>
  </si>
  <si>
    <t>TOTAL H.T.</t>
  </si>
  <si>
    <t>N°</t>
  </si>
  <si>
    <t>I</t>
  </si>
  <si>
    <t>A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</si>
  <si>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</si>
  <si>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</si>
  <si>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</si>
  <si>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</si>
  <si>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</si>
  <si>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</si>
  <si>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</si>
  <si>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</si>
  <si>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</si>
  <si>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</si>
  <si>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</si>
  <si>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</si>
  <si>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</si>
  <si>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</si>
  <si>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</si>
  <si>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</si>
  <si>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</si>
  <si>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</si>
  <si>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</si>
  <si>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W</t>
  </si>
  <si>
    <t>X</t>
  </si>
  <si>
    <t>Y</t>
  </si>
  <si>
    <t>Z</t>
  </si>
  <si>
    <t>Orientation</t>
  </si>
  <si>
    <t>ESCALIER</t>
  </si>
  <si>
    <t>MB Conception</t>
  </si>
  <si>
    <t>- - -</t>
  </si>
  <si>
    <t>BSO</t>
  </si>
  <si>
    <t>N.H.</t>
  </si>
  <si>
    <t>Embrasure</t>
  </si>
  <si>
    <t>Bandeaux int.</t>
  </si>
  <si>
    <t>Répartition optimale</t>
  </si>
  <si>
    <t>Répartition projet</t>
  </si>
  <si>
    <t>ÉTANCHÉITÉ</t>
  </si>
  <si>
    <t>PLÂTRERIE</t>
  </si>
  <si>
    <t>PEINTURE</t>
  </si>
  <si>
    <t>AMÉNAGEMENTS EXTÉRIEURS</t>
  </si>
  <si>
    <t>CHARPENTE MÉTALLIQUE</t>
  </si>
  <si>
    <t>SERRURERIE</t>
  </si>
  <si>
    <t>PLAFONDS SUSPENDUS</t>
  </si>
  <si>
    <t>F &amp; P</t>
  </si>
  <si>
    <t>INDEX</t>
  </si>
  <si>
    <t>DESIGNATION</t>
  </si>
  <si>
    <t>QUANTITE</t>
  </si>
  <si>
    <t>TVA</t>
  </si>
  <si>
    <t>Total HT</t>
  </si>
  <si>
    <t>Total TTC</t>
  </si>
  <si>
    <t>1 - TVA 20,00 %</t>
  </si>
  <si>
    <t>2 - TVA 10,00 %</t>
  </si>
  <si>
    <t>3 - TVA 5,50 %</t>
  </si>
  <si>
    <t>PRESTA</t>
  </si>
  <si>
    <t>PHOTO</t>
  </si>
  <si>
    <t>DÉMOLITIONS - MODIFICATIONS</t>
  </si>
  <si>
    <r>
      <rPr>
        <u/>
        <sz val="8"/>
        <color rgb="FF403F43"/>
        <rFont val="Abel"/>
      </rPr>
      <t>Généralités :</t>
    </r>
    <r>
      <rPr>
        <sz val="8"/>
        <color rgb="FF403F43"/>
        <rFont val="Abel"/>
      </rPr>
      <t xml:space="preserve">
   - Tous les travaux seront réalisés conformément aux D.T.U et normes en vigueur
   - Le titulaire du lot devra se rendre sur les lieux afin d'évaluer au plus juste l'importance des travaux  à effectuer,  particulièrement dans le cadre de rénovation.
   - Toutes les quantités indiquées dans le cadre du bordereau devront être vérifiées par les entreprises au moment de l'étude de l'offre.</t>
    </r>
  </si>
  <si>
    <r>
      <t>Généralités :</t>
    </r>
    <r>
      <rPr>
        <sz val="8"/>
        <color rgb="FF403F43"/>
        <rFont val="Abel"/>
      </rPr>
      <t xml:space="preserve">
   - Tous les travaux seront réalisés conformément aux D.T.U et normes en vigueur
   - Le titulaire du lot devra se rendre sur les lieux afin d'évaluer au plus juste l'importance des travaux  à effectuer,  particulièrement dans le cadre de rénovation.
   - Toutes les quantités indiquées dans le cadre du bordereau devront être vérifiées par les entreprises au moment de l'étude de l'offre.</t>
    </r>
  </si>
  <si>
    <t>BAC ACIER</t>
  </si>
  <si>
    <t>CHÂSSIS DE TOIT</t>
  </si>
  <si>
    <t>03_01_000</t>
  </si>
  <si>
    <t>TRAVAUX DE PRÉPARATION</t>
  </si>
  <si>
    <t>03_01_001</t>
  </si>
  <si>
    <t>03_01_005</t>
  </si>
  <si>
    <t>03_01_012</t>
  </si>
  <si>
    <t>03_01_013</t>
  </si>
  <si>
    <t>03_01_015</t>
  </si>
  <si>
    <t>03_01_019</t>
  </si>
  <si>
    <t>03_01_020</t>
  </si>
  <si>
    <t>03_01_021</t>
  </si>
  <si>
    <t>03_01_022</t>
  </si>
  <si>
    <t>03_01_023</t>
  </si>
  <si>
    <t>06_01_000</t>
  </si>
  <si>
    <t>06_01_001</t>
  </si>
  <si>
    <t>06_02_000</t>
  </si>
  <si>
    <t>06_02_002</t>
  </si>
  <si>
    <t>06_03_000</t>
  </si>
  <si>
    <t>06_03_001</t>
  </si>
  <si>
    <t>06_04_000</t>
  </si>
  <si>
    <t>06_04_001</t>
  </si>
  <si>
    <t>06_04_002</t>
  </si>
  <si>
    <t>06_04_003</t>
  </si>
  <si>
    <t>06_04_004</t>
  </si>
  <si>
    <t>06_05_000</t>
  </si>
  <si>
    <t>06_05_001</t>
  </si>
  <si>
    <t>06_05_002</t>
  </si>
  <si>
    <t>PRÉPARATION AU TRAVAIL</t>
  </si>
  <si>
    <t>PARTIE COURANTE</t>
  </si>
  <si>
    <t>OUVRAGES PARTICULIERS</t>
  </si>
  <si>
    <t>CHANTS DE COUVERTURE</t>
  </si>
  <si>
    <t>ACCESSOIRES DIVERS</t>
  </si>
  <si>
    <t>08_01_000</t>
  </si>
  <si>
    <t>08_01_001</t>
  </si>
  <si>
    <t>08_02_000</t>
  </si>
  <si>
    <t>08_02_001</t>
  </si>
  <si>
    <t>08_03_000</t>
  </si>
  <si>
    <t>08_03_001</t>
  </si>
  <si>
    <t>08_03_002</t>
  </si>
  <si>
    <t>08_04_000</t>
  </si>
  <si>
    <t>08_04_001</t>
  </si>
  <si>
    <t>08_04_002</t>
  </si>
  <si>
    <t>08_05_000</t>
  </si>
  <si>
    <t>08_05_001</t>
  </si>
  <si>
    <t>08_05_002</t>
  </si>
  <si>
    <t>08_06_000</t>
  </si>
  <si>
    <t>08_06_001</t>
  </si>
  <si>
    <t>08_06_002</t>
  </si>
  <si>
    <t>08_06_003</t>
  </si>
  <si>
    <t>08_06_004</t>
  </si>
  <si>
    <t>08_06_005</t>
  </si>
  <si>
    <t>08_06_006</t>
  </si>
  <si>
    <t>09_03_000</t>
  </si>
  <si>
    <t>09_03_001</t>
  </si>
  <si>
    <t>09_03_002</t>
  </si>
  <si>
    <t>09_03_003</t>
  </si>
  <si>
    <t>VERRIÈRES</t>
  </si>
  <si>
    <r>
      <rPr>
        <b/>
        <sz val="8"/>
        <rFont val="Abel"/>
      </rPr>
      <t>Châssis de toit 1,80 x 1,60 ml</t>
    </r>
    <r>
      <rPr>
        <sz val="8"/>
        <rFont val="Abel"/>
      </rPr>
      <t xml:space="preserve">
- châssis de toît
- ossature aluminium laqué
- dimensions l = 1,80 x L = 1,60 m
- 2 pentes en chevrons tubulaires
- côtés latéraux, trapèzes vitrés
- vitrage clair 6 / 16 Argon / 44.2
- coloris RAL 7016 int et ext
- fixations sur ossature périmétrique
- mise en œuvre selon normes
- toutes sujétions</t>
    </r>
  </si>
  <si>
    <r>
      <rPr>
        <b/>
        <sz val="8"/>
        <rFont val="Abel"/>
      </rPr>
      <t>Châssis de toit 1,80 x 2,40 ml</t>
    </r>
    <r>
      <rPr>
        <sz val="8"/>
        <rFont val="Abel"/>
      </rPr>
      <t xml:space="preserve">
- châssis de toît
- ossature aluminium laqué
- dimensions l = 1,80 x L = 2,40 m
- 2 pentes en chevrons tubulaires
- côtés latéraux, trapèzes vitrés
- vitrage clair 6 / 16 Argon / 44.2
- coloris RAL 7016 int et ext
- fixations sur ossature périmétrique
- mise en œuvre selon normes
- toutes sujétions</t>
    </r>
  </si>
  <si>
    <r>
      <rPr>
        <b/>
        <sz val="8"/>
        <rFont val="Abel"/>
      </rPr>
      <t>Châssis de toit 1,80 x 3,20 ml</t>
    </r>
    <r>
      <rPr>
        <sz val="8"/>
        <rFont val="Abel"/>
      </rPr>
      <t xml:space="preserve">
- châssis de toît
- ossature aluminium laqué
- dimensions l = 1,80 x L = 3,20 m
- 2 pentes en chevrons tubulaires
- côtés latéraux, trapèzes vitrés
- vitrage clair 6 / 16 Argon / 44.2
- coloris RAL 7016 int et ext
- fixations sur ossature périmétrique
- mise en œuvre selon normes
- toutes sujétions</t>
    </r>
  </si>
  <si>
    <t>TRAVAUX COMPLÉMENTAIRES</t>
  </si>
  <si>
    <r>
      <rPr>
        <b/>
        <sz val="8"/>
        <color rgb="FFEE5511"/>
        <rFont val="Abel"/>
      </rPr>
      <t>HYPOTHÈSES DE CALCUL :</t>
    </r>
    <r>
      <rPr>
        <sz val="8"/>
        <rFont val="Abel"/>
      </rPr>
      <t xml:space="preserve">
</t>
    </r>
    <r>
      <rPr>
        <b/>
        <sz val="8"/>
        <rFont val="Abel"/>
      </rPr>
      <t>Situation géographique :</t>
    </r>
    <r>
      <rPr>
        <sz val="8"/>
        <rFont val="Abel"/>
      </rPr>
      <t xml:space="preserve">
- Neige : région 
- Vent :
- Zone sismique : 
</t>
    </r>
    <r>
      <rPr>
        <b/>
        <sz val="8"/>
        <rFont val="Abel"/>
      </rPr>
      <t>Charges permanentes sur bâtiment neuf :</t>
    </r>
    <r>
      <rPr>
        <sz val="8"/>
        <rFont val="Abel"/>
      </rPr>
      <t xml:space="preserve">
- Poids propre de la charpente 
- Couverture  :
- Plafond :
- Isolation :</t>
    </r>
  </si>
  <si>
    <t>RELEVÉS D'ÉTANCHÉITÉ</t>
  </si>
  <si>
    <t>ÉQUIPEMENTS DE TOITURE</t>
  </si>
  <si>
    <t>FINITIONS</t>
  </si>
  <si>
    <t>ÉVACUATION DES EP</t>
  </si>
  <si>
    <t>17_01_000</t>
  </si>
  <si>
    <t>PLAFONDS</t>
  </si>
  <si>
    <t>17_01_001</t>
  </si>
  <si>
    <t>17_02_000</t>
  </si>
  <si>
    <t>DOUBLAGES</t>
  </si>
  <si>
    <t>17_02_001</t>
  </si>
  <si>
    <t>17_03_000</t>
  </si>
  <si>
    <t>DISTRIBUTIONS</t>
  </si>
  <si>
    <t>17_03_001</t>
  </si>
  <si>
    <t>17_03_003</t>
  </si>
  <si>
    <t>17_03_006</t>
  </si>
  <si>
    <t>17_04_000</t>
  </si>
  <si>
    <t>DIVERS</t>
  </si>
  <si>
    <t>Total</t>
  </si>
  <si>
    <r>
      <rPr>
        <b/>
        <sz val="8"/>
        <rFont val="Abel"/>
      </rPr>
      <t>Frangement pour porte</t>
    </r>
    <r>
      <rPr>
        <sz val="8"/>
        <rFont val="Abel"/>
      </rPr>
      <t xml:space="preserve">
- étayage
- sciage
- démolition du mur en agglos
- linteau BA
- coffrage et coulage des tableaux
- seuil béton
- bandeaux intérieurs
- reprise d'enduit idem existant
- mise en œuvre et toutes sujétions
</t>
    </r>
  </si>
  <si>
    <r>
      <rPr>
        <b/>
        <sz val="8"/>
        <rFont val="Abel"/>
      </rPr>
      <t>Frangement pour fenêtre</t>
    </r>
    <r>
      <rPr>
        <sz val="8"/>
        <rFont val="Abel"/>
      </rPr>
      <t xml:space="preserve">
- étayage
- sciage
- démolition du mur en agglos
- linteau BA
- coffrage et coulage des tableaux
- appui de fenêtre maçonné
- bandeaux intérieurs
- reprise d'enduit idem existant
- mise en œuvre et toutes sujétions
</t>
    </r>
  </si>
  <si>
    <r>
      <rPr>
        <b/>
        <sz val="8"/>
        <rFont val="Abel"/>
      </rPr>
      <t>Frangement pour passage</t>
    </r>
    <r>
      <rPr>
        <sz val="8"/>
        <rFont val="Abel"/>
      </rPr>
      <t xml:space="preserve">
- étayage
- sciage
- démolition du mur pierre
- linteau BA
- coffrage et coulage des jambages
- reprise de sol
- mise en œuvre et toutes sujétions
</t>
    </r>
  </si>
  <si>
    <r>
      <rPr>
        <b/>
        <sz val="8"/>
        <rFont val="Abel"/>
      </rPr>
      <t>Condamnation d'ouverture</t>
    </r>
    <r>
      <rPr>
        <sz val="8"/>
        <rFont val="Abel"/>
      </rPr>
      <t xml:space="preserve">
- condamnation de l'ouverture en agglos
- raccord avec l'existant
- reprise d'enduit extérieur idem existant
- mise en œuvre et toutes sujétions
</t>
    </r>
  </si>
  <si>
    <r>
      <rPr>
        <b/>
        <sz val="8"/>
        <rFont val="Abel"/>
      </rPr>
      <t>Démontage de la couverture tuiles</t>
    </r>
    <r>
      <rPr>
        <sz val="8"/>
        <rFont val="Abel"/>
      </rPr>
      <t xml:space="preserve">
- démontage de la couverture tuile
- bâchage si nécessaire
- toutes sujétions
</t>
    </r>
  </si>
  <si>
    <r>
      <rPr>
        <b/>
        <sz val="8"/>
        <rFont val="Abel"/>
      </rPr>
      <t>Reprise des arases de murs</t>
    </r>
    <r>
      <rPr>
        <sz val="8"/>
        <rFont val="Abel"/>
      </rPr>
      <t xml:space="preserve">
- coffrage et décoffrage
- reprise des arases en béton
- mise à niveau
- toutes sujétions
</t>
    </r>
  </si>
  <si>
    <r>
      <rPr>
        <b/>
        <sz val="8"/>
        <rFont val="Abel"/>
      </rPr>
      <t>Décapage du sol existant</t>
    </r>
    <r>
      <rPr>
        <sz val="8"/>
        <rFont val="Abel"/>
      </rPr>
      <t xml:space="preserve">
- décapage à l'engin mécanique
- mise à niveau de la plateforme
- chargement des gravats sur camion pour évacuation
- mise en œuvre et toutes sujétions
</t>
    </r>
  </si>
  <si>
    <r>
      <rPr>
        <b/>
        <sz val="8"/>
        <rFont val="Abel"/>
      </rPr>
      <t>Canalisations dans sol existant</t>
    </r>
    <r>
      <rPr>
        <sz val="8"/>
        <rFont val="Abel"/>
      </rPr>
      <t xml:space="preserve">
- sciages
- fouilles en tranchées
- travaux connexes (traversées de murs...)
- lit de sable
- fourniture et pose de canalisations PVC M1 Ø100 mm
- accessoires (coude, tés, culottes, manchons...)
- fermeture de tranchées par couches de remblai compactées
- reprise de béton
- mise en œuvre et toutes sujétions
</t>
    </r>
  </si>
  <si>
    <r>
      <rPr>
        <b/>
        <sz val="8"/>
        <rFont val="Abel"/>
      </rPr>
      <t>Démolitions intérieures</t>
    </r>
    <r>
      <rPr>
        <sz val="8"/>
        <rFont val="Abel"/>
      </rPr>
      <t xml:space="preserve">
- démolition des plafonds
- démolition des doublages
- démolition des distributions
- chargement des gravats sur camion pour évacuation
- mise en œuvre et toutes sujétions
</t>
    </r>
  </si>
  <si>
    <r>
      <rPr>
        <b/>
        <sz val="8"/>
        <rFont val="Abel"/>
      </rPr>
      <t>Évacuation des gravats</t>
    </r>
    <r>
      <rPr>
        <sz val="8"/>
        <rFont val="Abel"/>
      </rPr>
      <t xml:space="preserve">
- triage des gravats selon la nature
- transport à la déchetterie municipale
- toutes sujétions
</t>
    </r>
  </si>
  <si>
    <t>Sortie de hotte</t>
  </si>
  <si>
    <t>Rejet VMC</t>
  </si>
  <si>
    <t>Ventilation primaire</t>
  </si>
  <si>
    <t xml:space="preserve">Ventilation de fosse
</t>
  </si>
  <si>
    <t>000</t>
  </si>
  <si>
    <r>
      <rPr>
        <b/>
        <sz val="8"/>
        <rFont val="Abel"/>
      </rPr>
      <t>Plafond en briques enduites au plâtre</t>
    </r>
    <r>
      <rPr>
        <sz val="8"/>
        <rFont val="Abel"/>
      </rPr>
      <t xml:space="preserve">
</t>
    </r>
    <r>
      <rPr>
        <b/>
        <sz val="8"/>
        <rFont val="Abel"/>
      </rPr>
      <t>structure</t>
    </r>
    <r>
      <rPr>
        <sz val="8"/>
        <rFont val="Abel"/>
      </rPr>
      <t xml:space="preserve">
- briques de plafond traditionnelles de BOUYER LEROUX
- crochets de suspentes coudés à angle droit en acier galvanisé Ø 3,4 mm mini
- bande résiliente périphérique type PHALTEX de STEICO d'épaisseur 10 mm mini
</t>
    </r>
    <r>
      <rPr>
        <b/>
        <sz val="8"/>
        <rFont val="Abel"/>
      </rPr>
      <t>données techniques</t>
    </r>
    <r>
      <rPr>
        <sz val="8"/>
        <rFont val="Abel"/>
      </rPr>
      <t xml:space="preserve">
- dimensions (L x l x h) : 500 x 250 x 30 mm
- nb de briques /m² : 7,6
- nb de crochets /m² : 8
- poids : 29 Kg/m²
- liant et enduit conforme à la norme NF EN 13279-1 (B1 et B2)
- dureté de l'enduit plâtre (Shore C) : 70
</t>
    </r>
    <r>
      <rPr>
        <b/>
        <sz val="8"/>
        <rFont val="Abel"/>
      </rPr>
      <t>pose</t>
    </r>
    <r>
      <rPr>
        <sz val="8"/>
        <rFont val="Abel"/>
      </rPr>
      <t xml:space="preserve">
- collage des bandes résilientes à la colle néoprène
- mise en œuvre des entretoises,  crochets et briques selon DTU 25. 231
- application de l'enduit plâtre selon norme DTU 25.1 (Novembre 2010)
</t>
    </r>
  </si>
  <si>
    <r>
      <rPr>
        <b/>
        <sz val="8"/>
        <rFont val="Abel"/>
      </rPr>
      <t>Cloison de doublage en briques enduites au plâtre
structure</t>
    </r>
    <r>
      <rPr>
        <sz val="8"/>
        <rFont val="Abel"/>
      </rPr>
      <t xml:space="preserve">
- briques BIO'BRIC de BOUYER LEROUX
- bande résiliente type PHALTEX de STEICO d'épaisseur 10 mm
</t>
    </r>
    <r>
      <rPr>
        <b/>
        <sz val="8"/>
        <rFont val="Abel"/>
      </rPr>
      <t>données techniques</t>
    </r>
    <r>
      <rPr>
        <sz val="8"/>
        <rFont val="Abel"/>
      </rPr>
      <t xml:space="preserve">
- dimensions (L x l x h) : 385 x 300 x 40 mm
- nb de briques /m² : 8,3
- poids : 32 Kg/m²
- résistance thermique : R = 0,20 m².K/W
- résistance au feu : EI 45
- liant et enduit conforme à la norme NF EN 13279-1 (B1 et B2)
- dureté de l'enduit plâtre (Shore C) : 70
</t>
    </r>
    <r>
      <rPr>
        <b/>
        <sz val="8"/>
        <rFont val="Abel"/>
      </rPr>
      <t>pose</t>
    </r>
    <r>
      <rPr>
        <sz val="8"/>
        <rFont val="Abel"/>
      </rPr>
      <t xml:space="preserve">
- collage des bandes résilientes à la colle néoprène
- mise en oeuvre des bandes résilientes en pieds de cloisons et pourtour </t>
    </r>
    <r>
      <rPr>
        <b/>
        <sz val="8"/>
        <rFont val="Abel"/>
      </rPr>
      <t>menuiseries</t>
    </r>
    <r>
      <rPr>
        <sz val="8"/>
        <rFont val="Abel"/>
      </rPr>
      <t xml:space="preserve">
- mise en œuvre des briques selon DTU 20.13
- application de l'enduit plâtre selon norme DTU 25.1 (Novembre 2010)
</t>
    </r>
  </si>
  <si>
    <r>
      <rPr>
        <b/>
        <sz val="8"/>
        <rFont val="Abel"/>
      </rPr>
      <t>Cloison de distribution en briques enduites au plâtre
structure</t>
    </r>
    <r>
      <rPr>
        <sz val="8"/>
        <rFont val="Abel"/>
      </rPr>
      <t xml:space="preserve">
- briques BIO'BRIC de BOUYER LEROUX
- bande résiliente type PHALTEX de STEICO d'épaisseur 10 mm
</t>
    </r>
    <r>
      <rPr>
        <b/>
        <sz val="8"/>
        <rFont val="Abel"/>
      </rPr>
      <t>données techniques</t>
    </r>
    <r>
      <rPr>
        <sz val="8"/>
        <rFont val="Abel"/>
      </rPr>
      <t xml:space="preserve">
- dimensions (L x l x h) : 385 x 300 x 50 mm
- nb de briques /m² : 8,3
- poids : 35 Kg/m²
- résistance thermique : R = 0,25 m².K/W
- résistance au feu : EI 60
- liant et enduit conforme à la norme NF EN 13279-1 (B1 et B2)
- dureté de l'enduit plâtre (Shore C) : 70
</t>
    </r>
    <r>
      <rPr>
        <b/>
        <sz val="8"/>
        <rFont val="Abel"/>
      </rPr>
      <t>pose</t>
    </r>
    <r>
      <rPr>
        <sz val="8"/>
        <rFont val="Abel"/>
      </rPr>
      <t xml:space="preserve">
- collage des bandes résilientes à la colle néoprène
- mise en oeuvre des bandes résilientes en pieds de cloisons et pourtour menuiseries
- mise en œuvre des briques selon DTU 20.13
- application de l'enduit plâtre selon norme DTU 25.1 (Novembre 2010)
</t>
    </r>
  </si>
  <si>
    <r>
      <rPr>
        <b/>
        <sz val="8"/>
        <rFont val="Abel"/>
      </rPr>
      <t>Cloison isolante</t>
    </r>
    <r>
      <rPr>
        <sz val="8"/>
        <rFont val="Abel"/>
      </rPr>
      <t xml:space="preserve"> en carreaux de brique plâtrière ép. 4 cm avec laine de 
verre de 120 mm pour R = 3,75 m².K/W. Briques hourdées au plâtre, 
enduit plâtre fin 2 faces dureté sup. à 70 shore C, finition lissée, 
compris accrochage, façon d'arêtes et cueillies, feuillards de liaison 
et mise en œuvre.
</t>
    </r>
  </si>
  <si>
    <r>
      <rPr>
        <b/>
        <sz val="8"/>
        <rFont val="Abel"/>
      </rPr>
      <t>Enduit plâtre sur mur agglos</t>
    </r>
    <r>
      <rPr>
        <sz val="8"/>
        <rFont val="Abel"/>
      </rPr>
      <t xml:space="preserve">
Plâtre fin 1 face dureté sup. à 70 shore C, finition lissée, compris 
accrochage, façon d'arêtes et cueillies, feuillards de liaison et 
mise en œuvre.
</t>
    </r>
  </si>
  <si>
    <r>
      <rPr>
        <b/>
        <sz val="8"/>
        <rFont val="Abel"/>
      </rPr>
      <t>Trappe d'accès au combles</t>
    </r>
    <r>
      <rPr>
        <sz val="8"/>
        <rFont val="Abel"/>
      </rPr>
      <t xml:space="preserve">
- trappe TP2012I50 de NICOLL
- joint d'étanchéité
- isolant incorporé en ouate de polyester R = 7,50 m².K/W
- réhausse pour retenir l'isolant
- chevêtre
- mise en œuvre et toutes sujétions
</t>
    </r>
  </si>
  <si>
    <t xml:space="preserve">Habillage des WC suspendus
</t>
  </si>
  <si>
    <r>
      <rPr>
        <b/>
        <sz val="8"/>
        <rFont val="Abel"/>
      </rPr>
      <t>Angles PVC</t>
    </r>
    <r>
      <rPr>
        <sz val="8"/>
        <rFont val="Abel"/>
      </rPr>
      <t xml:space="preserve">, scellement au plâtre avant exécution des enduits, 
compris mise en œuvre.
</t>
    </r>
  </si>
  <si>
    <r>
      <rPr>
        <b/>
        <sz val="8"/>
        <rFont val="Abel"/>
      </rPr>
      <t>Arase résiliente</t>
    </r>
    <r>
      <rPr>
        <sz val="8"/>
        <rFont val="Abel"/>
      </rPr>
      <t xml:space="preserve"> de 10 mm d'épaisseur type phaltex et arase étanche 
type polyane, largeur 0,30 m, relevée lors du coulage des chapes, 
compris mise en œuvre.
</t>
    </r>
  </si>
  <si>
    <r>
      <rPr>
        <b/>
        <sz val="8"/>
        <rFont val="Abel"/>
      </rPr>
      <t>Façon de murette</t>
    </r>
    <r>
      <rPr>
        <sz val="8"/>
        <rFont val="Abel"/>
      </rPr>
      <t xml:space="preserve"> hauteur 1,10 m comprenant façon d'arêtes et 
toutes sujétions
</t>
    </r>
  </si>
  <si>
    <t>PEINTURE INTÉRIEURE</t>
  </si>
  <si>
    <r>
      <rPr>
        <b/>
        <sz val="8"/>
        <rFont val="Abel"/>
      </rPr>
      <t>Fourniture et pose d'une de toile de verre</t>
    </r>
    <r>
      <rPr>
        <sz val="8"/>
        <rFont val="Abel"/>
      </rPr>
      <t xml:space="preserve"> selon normes en vigueur, compris mise en œuvre et toutes sujétions
</t>
    </r>
  </si>
  <si>
    <t>Sans objet</t>
  </si>
  <si>
    <r>
      <rPr>
        <b/>
        <sz val="8"/>
        <rFont val="Abel"/>
      </rPr>
      <t xml:space="preserve">Peinture satinée </t>
    </r>
    <r>
      <rPr>
        <sz val="8"/>
        <rFont val="Abel"/>
      </rPr>
      <t xml:space="preserve">
- préparation des supports selon DTU
- égrenage, époussetage, révision joints placoplatre
- impression 1 couche 
- 2 couches de peinture 
- mise en œuvre selon DTU et toutes sujétions
</t>
    </r>
  </si>
  <si>
    <t>Plafonds plats en plaques de plâtre</t>
  </si>
  <si>
    <t>Plafonds rampants en plaques de plâtre</t>
  </si>
  <si>
    <r>
      <rPr>
        <b/>
        <sz val="8"/>
        <rFont val="Abel"/>
      </rPr>
      <t>Peinture sur ouvrages bois intérieurs</t>
    </r>
    <r>
      <rPr>
        <sz val="8"/>
        <rFont val="Abel"/>
      </rPr>
      <t xml:space="preserve">
- préparation supports selon DTU
- brossage à la brosse dure des salissures
- ponçage, époussetage, dégraissage des bois exotiques
- une couche impression
- enduit repassé, rebouchage des joints à l'enduit
- ponçage
- 2 couches de peinture, laque glycérophtalique satinée
- mise en œuvre selon DTU et toutes sujétions
</t>
    </r>
  </si>
  <si>
    <t xml:space="preserve">Doublages et distributions en plaques de plâtre
</t>
  </si>
  <si>
    <r>
      <rPr>
        <b/>
        <sz val="8"/>
        <rFont val="Abel"/>
      </rPr>
      <t>Peinture intérieure dito ci-dessus pour huisseries</t>
    </r>
    <r>
      <rPr>
        <sz val="8"/>
        <rFont val="Abel"/>
      </rPr>
      <t xml:space="preserve">
</t>
    </r>
  </si>
  <si>
    <t>DIVERS PEINTURE INTÉRIEURE</t>
  </si>
  <si>
    <r>
      <rPr>
        <b/>
        <sz val="8"/>
        <rFont val="Abel"/>
      </rPr>
      <t>Nettoyage des locaux</t>
    </r>
    <r>
      <rPr>
        <sz val="8"/>
        <rFont val="Abel"/>
      </rPr>
      <t xml:space="preserve">
- enlèvement des déchets laissés sur le chantier lors de l'exécution du lot
- enlèvement de toutes les traces de peinture sur les sols, murs, vitrages, les
  sanitaires et et les menuiseries
- toutes sujétions
- non compris mise à disposition des locaux
</t>
    </r>
  </si>
  <si>
    <r>
      <rPr>
        <b/>
        <sz val="8"/>
        <rFont val="Abel"/>
      </rPr>
      <t>Sécurité collective</t>
    </r>
    <r>
      <rPr>
        <sz val="8"/>
        <rFont val="Abel"/>
      </rPr>
      <t xml:space="preserve">
- crochets de sécurité à demeure (mise en sécurité et entretient)
- fixation des crochets de sécurité
- mise en place de  garde-corps conformes à la norme NF P 93-355
- mise en oeuvre selon DTU
- toutes sujétions comprises
</t>
    </r>
  </si>
  <si>
    <r>
      <rPr>
        <b/>
        <sz val="8"/>
        <rFont val="Abel"/>
      </rPr>
      <t>Étanchéité monocouche PVC isolée sur support bois (non-accessible)</t>
    </r>
    <r>
      <rPr>
        <sz val="8"/>
        <rFont val="Abel"/>
      </rPr>
      <t xml:space="preserve">
- pare-vapeur PE-LD 300 µm SIKAVAP F de chez SIKA - NARNAFIL
- isolant HARDROCK 2 NU de chez ROCKWOOL (R = 1,50 m².K/W)
- membrane PVC armé SIKAPLAN-12 G de SIKA - SARNAFIL ép. 1,2 mm
- fixation mécanique et soudures à air chaud des recouvrements
- finition RAL 7047 (gris clair)
- masse surfacique de l'ensemble : 10,78 Kg/m²
- toutes sujétions
</t>
    </r>
  </si>
  <si>
    <r>
      <rPr>
        <b/>
        <sz val="8"/>
        <rFont val="Abel"/>
      </rPr>
      <t>Relevé d'étanchéité</t>
    </r>
    <r>
      <rPr>
        <sz val="8"/>
        <rFont val="Abel"/>
      </rPr>
      <t xml:space="preserve">
- 1 costière métallique support de relevé
- 1 membrane PVC armé épaisseur 1,2 mm (hauteur min. 150 mm)
Finition gris clair
- toutes sujétions
</t>
    </r>
  </si>
  <si>
    <r>
      <rPr>
        <b/>
        <sz val="8"/>
        <rFont val="Abel"/>
      </rPr>
      <t>Bavette de rive</t>
    </r>
    <r>
      <rPr>
        <sz val="8"/>
        <rFont val="Abel"/>
      </rPr>
      <t xml:space="preserve">
- tôle plastée
- fixation mécanique et soudures à air chaud
- finition RAL 7015 (gris ardoise)
- toutes sujétions
</t>
    </r>
  </si>
  <si>
    <r>
      <rPr>
        <b/>
        <sz val="8"/>
        <rFont val="Abel"/>
      </rPr>
      <t>Sortie de toiture Ø125 mm</t>
    </r>
    <r>
      <rPr>
        <sz val="8"/>
        <rFont val="Abel"/>
      </rPr>
      <t xml:space="preserve">
Sortie de toiture par fourreau préfabriqué en PVC compis chapeau pare-
pluie et raccordement d'étanchéité avec la partie courante
</t>
    </r>
  </si>
  <si>
    <r>
      <rPr>
        <b/>
        <sz val="8"/>
        <rFont val="Abel"/>
      </rPr>
      <t>Sortie de toiture Ø100 mm</t>
    </r>
    <r>
      <rPr>
        <sz val="8"/>
        <rFont val="Abel"/>
      </rPr>
      <t xml:space="preserve">
Sortie de toiture par fourreau préfabriqué en PVC compis chapeau pare-
pluie et raccordement d'étanchéité avec la partie courante
</t>
    </r>
  </si>
  <si>
    <r>
      <rPr>
        <b/>
        <sz val="8"/>
        <rFont val="Abel"/>
      </rPr>
      <t>Coiffe d'acrotère</t>
    </r>
    <r>
      <rPr>
        <sz val="8"/>
        <rFont val="Abel"/>
      </rPr>
      <t xml:space="preserve">
Coiffe d'acrotère en aluminium 10/10 finition laquée 25 µm, compris
fixations, mise en œuvre et toutes sujétions
</t>
    </r>
  </si>
  <si>
    <r>
      <rPr>
        <b/>
        <sz val="8"/>
        <rFont val="Abel"/>
      </rPr>
      <t>Solin aluminium</t>
    </r>
    <r>
      <rPr>
        <sz val="8"/>
        <rFont val="Abel"/>
      </rPr>
      <t xml:space="preserve">
- PLINTECO 60 de DANI ALU
- profil aluminium brut 
- pose à bain de mastic contre maçonnerie
- toutes sujétions comprises
</t>
    </r>
  </si>
  <si>
    <r>
      <rPr>
        <b/>
        <sz val="8"/>
        <rFont val="Abel"/>
      </rPr>
      <t>Platine pour sortie EP intérieure</t>
    </r>
    <r>
      <rPr>
        <sz val="8"/>
        <rFont val="Abel"/>
      </rPr>
      <t xml:space="preserve">
- platine préfabriquée en PVC rigide de SIKA - SARNAFIL
- diamètre 100 mm
- crapaudine
- raccordement d'étanchéité avec la partie courante
- mise en œuvre
</t>
    </r>
  </si>
  <si>
    <r>
      <rPr>
        <b/>
        <sz val="8"/>
        <rFont val="Abel"/>
      </rPr>
      <t>Descente EP intérieure</t>
    </r>
    <r>
      <rPr>
        <sz val="8"/>
        <rFont val="Abel"/>
      </rPr>
      <t xml:space="preserve">
- tuyau en PVC Ø 100 mm
- fixations
- raccordement sur attente
- mise en œuvre
</t>
    </r>
  </si>
  <si>
    <r>
      <rPr>
        <b/>
        <sz val="8"/>
        <rFont val="Abel"/>
      </rPr>
      <t>Platine pour sortie EP extérieure</t>
    </r>
    <r>
      <rPr>
        <sz val="8"/>
        <rFont val="Abel"/>
      </rPr>
      <t xml:space="preserve">
- platine préfabriquée en PVC rigide de SIKA - SARNAFIL
- dimension 150 x 100 mm
- raccordement d'étanchéité avec la partie courante
- mise en œuvre
</t>
    </r>
  </si>
  <si>
    <r>
      <rPr>
        <b/>
        <sz val="8"/>
        <rFont val="Abel"/>
      </rPr>
      <t>Boite à eau</t>
    </r>
    <r>
      <rPr>
        <sz val="8"/>
        <rFont val="Abel"/>
      </rPr>
      <t xml:space="preserve">
- éléments en aluminium brut assemblés par soudures étanches
- finition par thermolaquage
- mise en œuvre
</t>
    </r>
  </si>
  <si>
    <r>
      <rPr>
        <b/>
        <sz val="8"/>
        <rFont val="Abel"/>
      </rPr>
      <t>Descente EP extérieure</t>
    </r>
    <r>
      <rPr>
        <sz val="8"/>
        <rFont val="Abel"/>
      </rPr>
      <t xml:space="preserve">
- tuyau en aluminium thermolaqué RAL au choix du client
- dimensions 80 x 60 mm
- fixations
- raccordement sur regard en attente
- mise en œuvre
</t>
    </r>
  </si>
  <si>
    <r>
      <rPr>
        <b/>
        <sz val="8"/>
        <rFont val="Abel"/>
      </rPr>
      <t>Trop-plein préfabriqué en PVC</t>
    </r>
    <r>
      <rPr>
        <sz val="8"/>
        <rFont val="Abel"/>
      </rPr>
      <t xml:space="preserve">
- platine préfabriquée en PVC rigide de SIKA - SARNAFIL
- dimension 150 x 100 mm
- raccordement d'étanchéité avec la partie courante
- habillage aluminium laqué RAL au choix du client
- mise en œuvre
</t>
    </r>
  </si>
  <si>
    <r>
      <rPr>
        <b/>
        <sz val="8"/>
        <rFont val="Abel"/>
      </rPr>
      <t>Sécurité collective</t>
    </r>
    <r>
      <rPr>
        <sz val="8"/>
        <rFont val="Abel"/>
      </rPr>
      <t xml:space="preserve">
- fixation des crochets de sécurité
- mise en place de  garde-corps conformes à la norme NF P 93-355
- mise en oeuvre selon DTU
- toutes sujétions comprises
</t>
    </r>
  </si>
  <si>
    <r>
      <rPr>
        <b/>
        <sz val="8"/>
        <rFont val="Abel"/>
      </rPr>
      <t>Couverture panneau sandwich</t>
    </r>
    <r>
      <rPr>
        <sz val="8"/>
        <rFont val="Abel"/>
      </rPr>
      <t xml:space="preserve">
</t>
    </r>
    <r>
      <rPr>
        <b/>
        <sz val="8"/>
        <rFont val="Abel"/>
      </rPr>
      <t>bac acier</t>
    </r>
    <r>
      <rPr>
        <sz val="8"/>
        <rFont val="Abel"/>
      </rPr>
      <t xml:space="preserve">
- panneau JI PANNEAU ECO de JORIS IDE
- extérieur tôle d'acier S 320 GD ép. 75/100
- intérieur aluminium stucco blanc
- mousse PU ép. 40mm
- résistance thermique R = 1,96 m².K/W
- poids 8,98 kg/m²,
- réaction au feu : Euroclasse E
- tenue au feu : - - -
</t>
    </r>
    <r>
      <rPr>
        <b/>
        <sz val="8"/>
        <rFont val="Abel"/>
      </rPr>
      <t>mise en oeuvre</t>
    </r>
    <r>
      <rPr>
        <sz val="8"/>
        <rFont val="Abel"/>
      </rPr>
      <t xml:space="preserve">
- accessoires de pose et de fixations
- pose sur charpente
- mise en œuvre selon DTU
- toutes sujétions
</t>
    </r>
  </si>
  <si>
    <t xml:space="preserve">Closoir peigne anti-moineaux pour couverture froide
</t>
  </si>
  <si>
    <r>
      <rPr>
        <b/>
        <sz val="8"/>
        <rFont val="Abel"/>
      </rPr>
      <t>Faîtage</t>
    </r>
    <r>
      <rPr>
        <sz val="8"/>
        <rFont val="Abel"/>
      </rPr>
      <t xml:space="preserve">
- pliage en aluminium 15/10 pour bac acier ci-dessus
- aluminium prélaqué RAL 7016
- accessoires de pose et fixations
- mise en oeuvre selon DTU
- toutes sujétions comprises
</t>
    </r>
  </si>
  <si>
    <r>
      <rPr>
        <b/>
        <sz val="8"/>
        <rFont val="Abel"/>
      </rPr>
      <t>Rives latérales</t>
    </r>
    <r>
      <rPr>
        <sz val="8"/>
        <rFont val="Abel"/>
      </rPr>
      <t xml:space="preserve">
- pliage en aluminium 15/10 pour bac acier ci-dessus
- aluminium prélaqué RAL 7016
- accessoires de pose et fixations
- mise en oeuvre selon DTU
- toutes sujétions comprises
</t>
    </r>
  </si>
  <si>
    <r>
      <rPr>
        <b/>
        <sz val="8"/>
        <rFont val="Abel"/>
      </rPr>
      <t>Habillages verticaux</t>
    </r>
    <r>
      <rPr>
        <sz val="8"/>
        <rFont val="Abel"/>
      </rPr>
      <t xml:space="preserve">
- pliage en aluminium 15/10 pour bac acier ci-dessus
- aluminium prélaqué RAL 7016
- accessoires de pose et fixations
- mise en oeuvre selon DTU
- toutes sujétions comprises
</t>
    </r>
  </si>
  <si>
    <r>
      <t>Solin en aluminium</t>
    </r>
    <r>
      <rPr>
        <sz val="8"/>
        <rFont val="Abel"/>
      </rPr>
      <t xml:space="preserve"> brut posé à bain de mastic, compris toutes sujétions
</t>
    </r>
  </si>
  <si>
    <r>
      <rPr>
        <b/>
        <sz val="8"/>
        <rFont val="Abel"/>
      </rPr>
      <t>Sortie en toiture Ø125 mm</t>
    </r>
    <r>
      <rPr>
        <sz val="8"/>
        <rFont val="Abel"/>
      </rPr>
      <t xml:space="preserve">
- sortie de inox spécifique pour toiture bac acier
- RAL 7016
- chapeau
- accessoires de pose et fixations
- étanchéité
- mise en œuvre et toutes sujétions
- toutes sujétions de fixations et mise en œuvre
</t>
    </r>
  </si>
  <si>
    <r>
      <rPr>
        <b/>
        <sz val="8"/>
        <rFont val="Abel"/>
      </rPr>
      <t>Sortie en toiture Ø100 mm</t>
    </r>
    <r>
      <rPr>
        <sz val="8"/>
        <rFont val="Abel"/>
      </rPr>
      <t xml:space="preserve">
- sortie de inox spécifique pour toiture bac acier
- RAL 7016
- chapeau
- accessoires de pose et fixations
- étanchéité
- mise en œuvre et toutes sujétions
- toutes sujétions de fixations et mise en œuvre
</t>
    </r>
  </si>
  <si>
    <t>Zone 1</t>
  </si>
  <si>
    <t xml:space="preserve">Zone 2
</t>
  </si>
  <si>
    <t>6.09 bêta</t>
  </si>
  <si>
    <t>prix fourniture de revetement de sol</t>
  </si>
  <si>
    <t>correction N° article plancher bois</t>
  </si>
  <si>
    <t>Version</t>
  </si>
  <si>
    <t>Date</t>
  </si>
  <si>
    <t>Modifications</t>
  </si>
  <si>
    <t>6.10 bêta</t>
  </si>
  <si>
    <t>Modification des images pour suppression automatique</t>
  </si>
  <si>
    <t>déverrouillage cellules basses pour possibilité de saut de page</t>
  </si>
  <si>
    <t>6.12 bêta</t>
  </si>
  <si>
    <t>Création d'un lot "Chape" séparé</t>
  </si>
  <si>
    <t>Modification des prix d'études NRGYS et IMEHOL</t>
  </si>
  <si>
    <t>Ajout de formule pour liaison B</t>
  </si>
  <si>
    <t>Ajout du détail par étage pour isolant de sol</t>
  </si>
  <si>
    <t>Ajout ratio surface vitrée en menuiseries</t>
  </si>
  <si>
    <t>longeur canalisations EP terrassement = fouilles</t>
  </si>
  <si>
    <t>6.13 bêta</t>
  </si>
  <si>
    <t>Ajout du lot "chape sur page bilan</t>
  </si>
  <si>
    <t>Quantité = 1,00 sur PAC et circulateur</t>
  </si>
  <si>
    <t>Modification erreur de formule sur STEICO FLEX</t>
  </si>
  <si>
    <t>Case "RDC" cochée d'office sur la page "données" sur le salon</t>
  </si>
  <si>
    <t>Modification de validation des données sur la page "bac acier"</t>
  </si>
  <si>
    <t>Modification prix en fourniture et pose de la GR32 ép. 160 mm</t>
  </si>
  <si>
    <t>6.14</t>
  </si>
  <si>
    <t>Attentes en plomberie pour les vasques et l'évier du débarras</t>
  </si>
  <si>
    <t xml:space="preserve">ensemble des portes de communications
</t>
  </si>
  <si>
    <t>Intégration de vasques et évier en option</t>
  </si>
  <si>
    <t>6.15</t>
  </si>
  <si>
    <t>6.16</t>
  </si>
  <si>
    <t>Modification erreur épaisseur ISOCONFORT 35</t>
  </si>
  <si>
    <t>7.00</t>
  </si>
  <si>
    <t>Activation des feuilles par cases à cocher</t>
  </si>
  <si>
    <t>Modification des études thermiques</t>
  </si>
  <si>
    <t>Séparation des prestations MB des prestations autres</t>
  </si>
  <si>
    <t>7.01</t>
  </si>
  <si>
    <t>Intégration des prestations diverses avec les autres lots sur la page "bilan"</t>
  </si>
  <si>
    <t>Rep</t>
  </si>
  <si>
    <t>Larg.</t>
  </si>
  <si>
    <t>Haut.</t>
  </si>
  <si>
    <t>All.</t>
  </si>
  <si>
    <t>Famille</t>
  </si>
  <si>
    <t>Dormant</t>
  </si>
  <si>
    <t>Couleur</t>
  </si>
  <si>
    <t>Couleur int.</t>
  </si>
  <si>
    <t>Couleur ext.</t>
  </si>
  <si>
    <t>Vitrage</t>
  </si>
  <si>
    <t>Fermeture</t>
  </si>
  <si>
    <t>Coffre</t>
  </si>
  <si>
    <t>Moteur</t>
  </si>
  <si>
    <t>Commande</t>
  </si>
  <si>
    <t>Tablier</t>
  </si>
  <si>
    <t>Couleur tablier</t>
  </si>
  <si>
    <t>Couleur coulisses</t>
  </si>
  <si>
    <t>Ventilation</t>
  </si>
  <si>
    <t>détail des seuils</t>
  </si>
  <si>
    <t>détail des appuis</t>
  </si>
  <si>
    <t>détail des coffres L béton</t>
  </si>
  <si>
    <t>détail des coffres L terre cuite</t>
  </si>
  <si>
    <t>détail des coffres tunnels TC</t>
  </si>
  <si>
    <t>Détail des coffres tunnels fibres</t>
  </si>
  <si>
    <t>Nord</t>
  </si>
  <si>
    <t>Nord-Est</t>
  </si>
  <si>
    <t>Est</t>
  </si>
  <si>
    <t>Sud-Est</t>
  </si>
  <si>
    <t>Sud</t>
  </si>
  <si>
    <t>Sud-Ouest</t>
  </si>
  <si>
    <t>Ouest</t>
  </si>
  <si>
    <t>Nord-Ouest</t>
  </si>
  <si>
    <t>FA1</t>
  </si>
  <si>
    <t>FA2</t>
  </si>
  <si>
    <t>FS1</t>
  </si>
  <si>
    <t>FS2</t>
  </si>
  <si>
    <t>OB1</t>
  </si>
  <si>
    <t>OB2</t>
  </si>
  <si>
    <t>BC2R 2V</t>
  </si>
  <si>
    <t>BC2R 4V</t>
  </si>
  <si>
    <t>BC3R 3V</t>
  </si>
  <si>
    <t>FIXE</t>
  </si>
  <si>
    <t>SOUF</t>
  </si>
  <si>
    <t>BG1R 1V</t>
  </si>
  <si>
    <t>BG1R 2V</t>
  </si>
  <si>
    <t>BG2R 2V</t>
  </si>
  <si>
    <t>BG2R 4V</t>
  </si>
  <si>
    <t>PM 1</t>
  </si>
  <si>
    <t>PM2</t>
  </si>
  <si>
    <t>PV1</t>
  </si>
  <si>
    <t>PV2</t>
  </si>
  <si>
    <t>PE1</t>
  </si>
  <si>
    <t>PE2</t>
  </si>
  <si>
    <t>PR F1</t>
  </si>
  <si>
    <t>PR F2</t>
  </si>
  <si>
    <t>PR A1</t>
  </si>
  <si>
    <t>PR A2</t>
  </si>
  <si>
    <t>Choix</t>
  </si>
  <si>
    <t>Oui</t>
  </si>
  <si>
    <t>Non</t>
  </si>
  <si>
    <t>BLANC SATINÉ (9016 S)</t>
  </si>
  <si>
    <t>GRIS FONCÉ (7016 S)</t>
  </si>
  <si>
    <t>TAUPE (7022 S)</t>
  </si>
  <si>
    <t>NOIR SATINÉ (9005 S)</t>
  </si>
  <si>
    <t>NOIR TEXTURÉ (RAL 9005 T)</t>
  </si>
  <si>
    <t>BRONZE (B 390 S)</t>
  </si>
  <si>
    <t>GRIS (9006 T)</t>
  </si>
  <si>
    <t>GRÈGE (9007 T)</t>
  </si>
  <si>
    <t>GRIS SABLÉ (2900)</t>
  </si>
  <si>
    <t>NOIR SABLÉ (2100)</t>
  </si>
  <si>
    <t>BEIGE (1015 T)</t>
  </si>
  <si>
    <t>MARRON (8011 T)</t>
  </si>
  <si>
    <t>VERT CLAIR (6021 T)</t>
  </si>
  <si>
    <t>VERT FONCÉ (6005 T)</t>
  </si>
  <si>
    <t>ROUGE (3004 T)</t>
  </si>
  <si>
    <t>BLEU CLAIR (5023 T)</t>
  </si>
  <si>
    <t>BLEU FONCÉ (5003 T)</t>
  </si>
  <si>
    <t>CHÊNE DORÉ</t>
  </si>
  <si>
    <t>CHAMPAGNE LAQUÉ</t>
  </si>
  <si>
    <t>ANODISÉ</t>
  </si>
  <si>
    <t>4 / 16 Argon / TBE 4</t>
  </si>
  <si>
    <t>DÉPOLI 4 / 16 Argon / TBE 4</t>
  </si>
  <si>
    <t>44-2 / 18 Argon / TBE 4</t>
  </si>
  <si>
    <t>DÉPOLI 44-2 / 18 Argon / TBE 4</t>
  </si>
  <si>
    <t>4 / 20 Argon / TBE 4</t>
  </si>
  <si>
    <t>DÉPOLI 4 / 20 Argon / TBE 4</t>
  </si>
  <si>
    <t>Petits bois</t>
  </si>
  <si>
    <t>Section 10 x 8 Laiton Tradi</t>
  </si>
  <si>
    <t>Section 10 x 8 Plomb Tradi</t>
  </si>
  <si>
    <t>Section 10 x 8 Alu Tradi blanc</t>
  </si>
  <si>
    <t>Section 18 x 8 Alu blanc</t>
  </si>
  <si>
    <t>Section 18 x 8 Alu bicolore</t>
  </si>
  <si>
    <t>Section 18 x 8 Alu monocolore</t>
  </si>
  <si>
    <t>Section 26 x 8 Alu blanc</t>
  </si>
  <si>
    <t>Section 26 x 8 Alu bicolore</t>
  </si>
  <si>
    <t>Section 26 x 8 Alu monocolore</t>
  </si>
  <si>
    <t>Section 45 x 8 Alu blanc</t>
  </si>
  <si>
    <t>Section 45 x 8 Alu bicolore</t>
  </si>
  <si>
    <t>Section 45 x 8 Alu monocolore</t>
  </si>
  <si>
    <t>Montage petits bois</t>
  </si>
  <si>
    <t>Bloc-baie demi-linteau</t>
  </si>
  <si>
    <t>Bloc-baie BSO</t>
  </si>
  <si>
    <t>VR traditionnel</t>
  </si>
  <si>
    <t>Volets battants</t>
  </si>
  <si>
    <t>Coffre L béton</t>
  </si>
  <si>
    <t>Coffre L terre cuite</t>
  </si>
  <si>
    <t>Coffre tunnel terre cuite</t>
  </si>
  <si>
    <t>Coffre tunnel fibre</t>
  </si>
  <si>
    <t>Filaire Bubendorff</t>
  </si>
  <si>
    <t>Radio Bubendorff</t>
  </si>
  <si>
    <t>Radio Somfy RTS</t>
  </si>
  <si>
    <t>Radio Somfy IO</t>
  </si>
  <si>
    <t>Radio X3D</t>
  </si>
  <si>
    <t>Télécommande portative bubendorff</t>
  </si>
  <si>
    <t>Télécommande murale Somfy Smoove Origin RTS</t>
  </si>
  <si>
    <t>Télécommande portative Somfy Telis 1 RTS</t>
  </si>
  <si>
    <t>Télécommande portative Somfy Situo Mobile IO</t>
  </si>
  <si>
    <t>Télécommande murale Somfy Smoove Origin IO</t>
  </si>
  <si>
    <t>Tablier aluminium</t>
  </si>
  <si>
    <t>Tablier PVC</t>
  </si>
  <si>
    <t>Découpe seule + manchon en traversée de doublage</t>
  </si>
  <si>
    <t>Mortaise pour entrée d'air</t>
  </si>
  <si>
    <t>Bloc Thermobloc</t>
  </si>
  <si>
    <t>80 mm</t>
  </si>
  <si>
    <t>100 mm</t>
  </si>
  <si>
    <t>120 mm</t>
  </si>
  <si>
    <t>140 mm</t>
  </si>
  <si>
    <t>160 mm</t>
  </si>
  <si>
    <t>180 mm</t>
  </si>
  <si>
    <t>200 mm</t>
  </si>
  <si>
    <t>210 mm</t>
  </si>
  <si>
    <t>Entrée d'air</t>
  </si>
  <si>
    <t>à la française</t>
  </si>
  <si>
    <t>oscillo - battant</t>
  </si>
  <si>
    <t>coulissant</t>
  </si>
  <si>
    <t>"- - -"</t>
  </si>
  <si>
    <t>à soufflet</t>
  </si>
  <si>
    <t>à l'anglaise</t>
  </si>
  <si>
    <t>Ouverture / famille</t>
  </si>
  <si>
    <t>Nb vantaux</t>
  </si>
  <si>
    <t xml:space="preserve">1 vantail </t>
  </si>
  <si>
    <t xml:space="preserve">2 vantaux </t>
  </si>
  <si>
    <t xml:space="preserve">4 vantaux </t>
  </si>
  <si>
    <t xml:space="preserve">3 vantaux </t>
  </si>
  <si>
    <t xml:space="preserve">fixe </t>
  </si>
  <si>
    <t xml:space="preserve">1 vantaux </t>
  </si>
  <si>
    <t>Réservation pour BSO</t>
  </si>
  <si>
    <t>Détail des réservation pour BSO</t>
  </si>
  <si>
    <t>GARDE CORPS</t>
  </si>
  <si>
    <t>hors lot</t>
  </si>
  <si>
    <r>
      <rPr>
        <b/>
        <sz val="8"/>
        <rFont val="Abel"/>
      </rPr>
      <t>Finition de l'escalier et des gardes-corps</t>
    </r>
    <r>
      <rPr>
        <sz val="8"/>
        <rFont val="Abel"/>
      </rPr>
      <t xml:space="preserve">
- vernissage incolore
- application sur les marches et gardes-corps
- toutes sujétions</t>
    </r>
  </si>
  <si>
    <r>
      <rPr>
        <b/>
        <sz val="8"/>
        <rFont val="Abel"/>
      </rPr>
      <t>Escalier droit
structure</t>
    </r>
    <r>
      <rPr>
        <sz val="8"/>
        <rFont val="Abel"/>
      </rPr>
      <t xml:space="preserve">
- limon central métallique
- marches bois massif
- largeur de volée selon plan
</t>
    </r>
    <r>
      <rPr>
        <b/>
        <sz val="8"/>
        <rFont val="Abel"/>
      </rPr>
      <t>garde-corps</t>
    </r>
    <r>
      <rPr>
        <sz val="8"/>
        <rFont val="Abel"/>
      </rPr>
      <t xml:space="preserve">
- poteaux métalliques
- main courante en bois massif idem marches
- lisses métalliques
</t>
    </r>
    <r>
      <rPr>
        <b/>
        <sz val="8"/>
        <rFont val="Abel"/>
      </rPr>
      <t>finition</t>
    </r>
    <r>
      <rPr>
        <sz val="8"/>
        <rFont val="Abel"/>
      </rPr>
      <t xml:space="preserve">
- bois brut prêt à teinter
</t>
    </r>
    <r>
      <rPr>
        <b/>
        <sz val="8"/>
        <rFont val="Abel"/>
      </rPr>
      <t>mise en oeuvre</t>
    </r>
    <r>
      <rPr>
        <sz val="8"/>
        <rFont val="Abel"/>
      </rPr>
      <t xml:space="preserve">
- mise en place de l'escalier
- fixation de l'ensemble
- pose de la rampe
- toutes sujétions
</t>
    </r>
  </si>
  <si>
    <r>
      <rPr>
        <b/>
        <sz val="8"/>
        <rFont val="Abel"/>
      </rPr>
      <t>Garde corps d'étage
garde-corps</t>
    </r>
    <r>
      <rPr>
        <sz val="8"/>
        <rFont val="Abel"/>
      </rPr>
      <t xml:space="preserve">
- poteaux métalliques
- main courante en bois massif idem marches
- lisses métalliques
</t>
    </r>
    <r>
      <rPr>
        <b/>
        <sz val="8"/>
        <rFont val="Abel"/>
      </rPr>
      <t>finition</t>
    </r>
    <r>
      <rPr>
        <sz val="8"/>
        <rFont val="Abel"/>
      </rPr>
      <t xml:space="preserve">
- bois brut prêt à teinter
</t>
    </r>
    <r>
      <rPr>
        <b/>
        <sz val="8"/>
        <rFont val="Abel"/>
      </rPr>
      <t>mise en oeuvre</t>
    </r>
    <r>
      <rPr>
        <sz val="8"/>
        <rFont val="Abel"/>
      </rPr>
      <t xml:space="preserve">
- fixation de l'ensemble
- toutes sujétions
</t>
    </r>
  </si>
  <si>
    <t>7.011</t>
  </si>
  <si>
    <t>Remplissage du lot escalier</t>
  </si>
  <si>
    <t>Modification du prix de prestation de suivi de chantier en neuf</t>
  </si>
  <si>
    <t>Modification de la zone d'impression sur "prestations"</t>
  </si>
  <si>
    <t>Remplacement des appliques par des spots</t>
  </si>
  <si>
    <t>Ajout du prix pour l'Odyssée Split</t>
  </si>
  <si>
    <t>ajout du châssis "atelier"</t>
  </si>
  <si>
    <t>7.02</t>
  </si>
  <si>
    <t>Ajout page "Ouvertures"</t>
  </si>
  <si>
    <t>Télécommande K-Line Gloss Murale</t>
  </si>
  <si>
    <t>Surface</t>
  </si>
  <si>
    <t>m²/Orientation</t>
  </si>
  <si>
    <t>Tableaux enduit</t>
  </si>
  <si>
    <t>L. embras.</t>
  </si>
  <si>
    <t>135 ou 155</t>
  </si>
  <si>
    <t>175 ou 195</t>
  </si>
  <si>
    <t>75 ou 95 ou 115</t>
  </si>
  <si>
    <t>Hauteur</t>
  </si>
  <si>
    <t>410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</si>
  <si>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</si>
  <si>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</si>
  <si>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</si>
  <si>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</si>
  <si>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</si>
  <si>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</si>
  <si>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</si>
  <si>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</si>
  <si>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</si>
  <si>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1400</t>
  </si>
  <si>
    <t>1500</t>
  </si>
  <si>
    <t>Liste valeurs</t>
  </si>
  <si>
    <t>Tapée</t>
  </si>
  <si>
    <t>Prix brut</t>
  </si>
  <si>
    <t>Long. Coffres L béton</t>
  </si>
  <si>
    <t>Long. Coffres L TC</t>
  </si>
  <si>
    <t>Long. Coffres tunnels TC</t>
  </si>
  <si>
    <t>Long. Coffres tunnels fibre</t>
  </si>
  <si>
    <t>Long. BSO</t>
  </si>
  <si>
    <t>Long. Seuils</t>
  </si>
  <si>
    <t>Long. Appuis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</si>
</sst>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[$-40C]d\ mmmm\ yyyy;@"/>
    <numFmt numFmtId="167" formatCode="&quot;T.V.A &quot;#,##0.00&quot; %&quot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rgb="FF403F43"/>
      <name val="Open Sans Condensed"/>
      <family val="2"/>
    </font>
    <font>
      <sz val="9"/>
      <color rgb="FF403F43"/>
      <name val="Abel"/>
    </font>
    <font>
      <sz val="8"/>
      <color theme="0"/>
      <name val="Abel"/>
    </font>
    <font>
      <sz val="8"/>
      <name val="Abel"/>
    </font>
    <font>
      <sz val="8"/>
      <color rgb="FF403F43"/>
      <name val="Abel"/>
    </font>
    <font>
      <b/>
      <sz val="8"/>
      <color theme="0"/>
      <name val="Open Sans Condensed"/>
      <family val="2"/>
    </font>
    <font>
      <b/>
      <sz val="8"/>
      <color rgb="FF403F43"/>
      <name val="Open Sans Condensed"/>
      <family val="2"/>
    </font>
    <font>
      <b/>
      <sz val="8"/>
      <name val="Abel"/>
    </font>
    <font>
      <u/>
      <sz val="8"/>
      <color rgb="FF403F43"/>
      <name val="Abel"/>
    </font>
    <font>
      <b/>
      <sz val="11"/>
      <color rgb="FFEE5511"/>
      <name val="Open Sans Condensed"/>
      <family val="2"/>
    </font>
    <font>
      <sz val="10"/>
      <color rgb="FF403F43"/>
      <name val="Abel"/>
    </font>
    <font>
      <b/>
      <sz val="20"/>
      <color theme="0"/>
      <name val="Open Sans Condensed"/>
      <family val="2"/>
    </font>
    <font>
      <sz val="8"/>
      <color rgb="FF403F43"/>
      <name val="Open Sans Condensed"/>
      <family val="2"/>
    </font>
    <font>
      <b/>
      <sz val="8"/>
      <color rgb="FFEE5511"/>
      <name val="Abel"/>
    </font>
    <font>
      <sz val="10"/>
      <name val="Calibri"/>
      <family val="2"/>
      <scheme val="minor"/>
    </font>
    <font>
      <sz val="8"/>
      <color theme="1" tint="0.34998626667073579"/>
      <name val="Abel"/>
    </font>
    <font>
      <sz val="7"/>
      <color theme="0" tint="-0.34998626667073579"/>
      <name val="Open Sans Condensed"/>
      <family val="2"/>
    </font>
    <font>
      <sz val="10"/>
      <name val="Abel"/>
    </font>
    <font>
      <sz val="10"/>
      <name val="Open Sans Condensed"/>
      <family val="2"/>
    </font>
    <font>
      <b/>
      <sz val="10"/>
      <name val="Open Sans Condensed"/>
      <family val="2"/>
    </font>
    <font>
      <sz val="10"/>
      <color theme="0"/>
      <name val="Open Sans Condensed"/>
      <family val="2"/>
    </font>
    <font>
      <b/>
      <sz val="10"/>
      <color rgb="FF3F4043"/>
      <name val="Abel"/>
    </font>
    <font>
      <sz val="10"/>
      <color rgb="FF3F4043"/>
      <name val="Abel"/>
    </font>
    <font>
      <b/>
      <i/>
      <sz val="10"/>
      <color rgb="FF3F4043"/>
      <name val="Abel"/>
    </font>
    <font>
      <b/>
      <sz val="10"/>
      <name val="Abel"/>
    </font>
    <font>
      <b/>
      <sz val="10"/>
      <name val="Arial"/>
      <family val="2"/>
    </font>
    <font>
      <sz val="10"/>
      <color rgb="FF3F4043"/>
      <name val="Arial"/>
      <family val="2"/>
    </font>
    <font>
      <b/>
      <sz val="10"/>
      <color rgb="FF3F404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7F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E5511"/>
        <bgColor indexed="64"/>
      </patternFill>
    </fill>
    <fill>
      <patternFill patternType="solid">
        <fgColor rgb="FFEE5511"/>
        <bgColor auto="1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rgb="FFF4A780"/>
      </left>
      <right style="thin">
        <color rgb="FFF4A780"/>
      </right>
      <top style="thin">
        <color rgb="FFF4A780"/>
      </top>
      <bottom style="thin">
        <color rgb="FFF4A780"/>
      </bottom>
      <diagonal/>
    </border>
    <border>
      <left style="thin">
        <color rgb="FF403F43"/>
      </left>
      <right/>
      <top style="thin">
        <color rgb="FF403F43"/>
      </top>
      <bottom style="hair">
        <color rgb="FF403F43"/>
      </bottom>
      <diagonal/>
    </border>
    <border>
      <left/>
      <right/>
      <top style="thin">
        <color rgb="FF403F43"/>
      </top>
      <bottom style="hair">
        <color rgb="FF403F43"/>
      </bottom>
      <diagonal/>
    </border>
    <border>
      <left style="thin">
        <color rgb="FF403F43"/>
      </left>
      <right/>
      <top style="hair">
        <color rgb="FF403F43"/>
      </top>
      <bottom style="hair">
        <color rgb="FF403F43"/>
      </bottom>
      <diagonal/>
    </border>
    <border>
      <left/>
      <right/>
      <top style="hair">
        <color rgb="FF403F43"/>
      </top>
      <bottom style="hair">
        <color rgb="FF403F43"/>
      </bottom>
      <diagonal/>
    </border>
    <border>
      <left style="thin">
        <color rgb="FF403F43"/>
      </left>
      <right/>
      <top style="hair">
        <color rgb="FF403F43"/>
      </top>
      <bottom style="thin">
        <color rgb="FF403F43"/>
      </bottom>
      <diagonal/>
    </border>
    <border>
      <left/>
      <right/>
      <top style="hair">
        <color rgb="FF403F43"/>
      </top>
      <bottom style="thin">
        <color rgb="FF403F43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rgb="FF403F4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0" fontId="10" fillId="0" borderId="0"/>
    <xf numFmtId="0" fontId="8" fillId="0" borderId="0"/>
    <xf numFmtId="0" fontId="8" fillId="0" borderId="0"/>
    <xf numFmtId="0" fontId="7" fillId="0" borderId="0"/>
    <xf numFmtId="0" fontId="6" fillId="0" borderId="0"/>
    <xf numFmtId="0" fontId="11" fillId="0" borderId="6">
      <alignment horizontal="left" vertical="center"/>
    </xf>
    <xf numFmtId="0" fontId="5" fillId="0" borderId="0"/>
    <xf numFmtId="0" fontId="4" fillId="0" borderId="0"/>
    <xf numFmtId="0" fontId="8" fillId="0" borderId="0"/>
    <xf numFmtId="44" fontId="8" fillId="0" borderId="0" applyFont="0" applyFill="0" applyBorder="0" applyAlignment="0" applyProtection="0"/>
    <xf numFmtId="0" fontId="4" fillId="0" borderId="0"/>
    <xf numFmtId="43" fontId="8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49" fontId="2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</cellStyleXfs>
  <cellXfs count="111">
    <xf numFmtId="0" fontId="0" fillId="0" borderId="0" xfId="0"/>
    <xf numFmtId="0" fontId="16" fillId="0" borderId="0" xfId="0" applyFont="1" applyAlignment="1" applyProtection="1">
      <alignment vertical="top"/>
    </xf>
    <xf numFmtId="165" fontId="16" fillId="0" borderId="0" xfId="0" applyNumberFormat="1" applyFont="1" applyAlignment="1" applyProtection="1">
      <alignment vertical="top"/>
    </xf>
    <xf numFmtId="0" fontId="13" fillId="0" borderId="0" xfId="0" applyFont="1" applyAlignment="1" applyProtection="1">
      <alignment vertical="top"/>
    </xf>
    <xf numFmtId="0" fontId="15" fillId="0" borderId="0" xfId="0" applyFont="1" applyProtection="1"/>
    <xf numFmtId="44" fontId="14" fillId="4" borderId="7" xfId="0" applyNumberFormat="1" applyFont="1" applyFill="1" applyBorder="1" applyAlignment="1" applyProtection="1">
      <alignment horizontal="left" vertical="center"/>
    </xf>
    <xf numFmtId="0" fontId="14" fillId="4" borderId="8" xfId="0" applyFont="1" applyFill="1" applyBorder="1" applyAlignment="1" applyProtection="1">
      <alignment vertical="center"/>
    </xf>
    <xf numFmtId="44" fontId="14" fillId="4" borderId="9" xfId="0" applyNumberFormat="1" applyFont="1" applyFill="1" applyBorder="1" applyAlignment="1" applyProtection="1">
      <alignment horizontal="left" vertical="center"/>
    </xf>
    <xf numFmtId="167" fontId="14" fillId="4" borderId="10" xfId="0" applyNumberFormat="1" applyFont="1" applyFill="1" applyBorder="1" applyAlignment="1" applyProtection="1">
      <alignment vertical="center"/>
    </xf>
    <xf numFmtId="167" fontId="14" fillId="4" borderId="10" xfId="0" applyNumberFormat="1" applyFont="1" applyFill="1" applyBorder="1" applyAlignment="1" applyProtection="1">
      <alignment horizontal="left" vertical="center"/>
    </xf>
    <xf numFmtId="44" fontId="17" fillId="4" borderId="11" xfId="0" applyNumberFormat="1" applyFont="1" applyFill="1" applyBorder="1" applyAlignment="1" applyProtection="1">
      <alignment horizontal="left" vertical="center"/>
    </xf>
    <xf numFmtId="0" fontId="17" fillId="4" borderId="12" xfId="0" applyFont="1" applyFill="1" applyBorder="1" applyAlignment="1" applyProtection="1">
      <alignment vertical="center"/>
    </xf>
    <xf numFmtId="0" fontId="16" fillId="0" borderId="0" xfId="0" applyFont="1" applyAlignment="1" applyProtection="1">
      <alignment vertical="top"/>
      <protection hidden="1"/>
    </xf>
    <xf numFmtId="0" fontId="15" fillId="0" borderId="0" xfId="0" applyFont="1" applyAlignment="1" applyProtection="1">
      <alignment horizontal="left" vertical="top"/>
      <protection locked="0"/>
    </xf>
    <xf numFmtId="0" fontId="15" fillId="0" borderId="0" xfId="0" applyFont="1" applyAlignment="1" applyProtection="1">
      <alignment vertical="top"/>
      <protection locked="0"/>
    </xf>
    <xf numFmtId="0" fontId="15" fillId="0" borderId="0" xfId="0" applyFont="1" applyAlignment="1" applyProtection="1">
      <alignment horizontal="center" vertical="top"/>
      <protection locked="0"/>
    </xf>
    <xf numFmtId="2" fontId="15" fillId="0" borderId="0" xfId="0" applyNumberFormat="1" applyFont="1" applyAlignment="1" applyProtection="1">
      <alignment horizontal="center" vertical="top"/>
      <protection locked="0"/>
    </xf>
    <xf numFmtId="0" fontId="15" fillId="0" borderId="0" xfId="0" applyFont="1" applyAlignment="1" applyProtection="1">
      <alignment vertical="top" wrapText="1"/>
      <protection locked="0"/>
    </xf>
    <xf numFmtId="0" fontId="15" fillId="0" borderId="0" xfId="0" applyFont="1" applyAlignment="1" applyProtection="1">
      <alignment vertical="top"/>
      <protection locked="0" hidden="1"/>
    </xf>
    <xf numFmtId="0" fontId="15" fillId="0" borderId="0" xfId="0" applyFont="1" applyAlignment="1" applyProtection="1">
      <alignment horizontal="center" vertical="top"/>
      <protection locked="0" hidden="1"/>
    </xf>
    <xf numFmtId="44" fontId="15" fillId="0" borderId="0" xfId="0" applyNumberFormat="1" applyFont="1" applyAlignment="1" applyProtection="1">
      <alignment vertical="top"/>
      <protection locked="0"/>
    </xf>
    <xf numFmtId="0" fontId="16" fillId="2" borderId="0" xfId="0" applyFont="1" applyFill="1" applyAlignment="1" applyProtection="1">
      <alignment vertical="top"/>
      <protection hidden="1"/>
    </xf>
    <xf numFmtId="0" fontId="16" fillId="0" borderId="0" xfId="0" applyNumberFormat="1" applyFont="1" applyAlignment="1" applyProtection="1">
      <alignment horizontal="center" vertical="top"/>
      <protection locked="0"/>
    </xf>
    <xf numFmtId="0" fontId="21" fillId="0" borderId="0" xfId="9" applyFont="1" applyAlignment="1" applyProtection="1">
      <alignment horizontal="left" vertical="top" indent="7"/>
    </xf>
    <xf numFmtId="0" fontId="22" fillId="0" borderId="0" xfId="9" applyFont="1" applyAlignment="1" applyProtection="1">
      <alignment horizontal="left" vertical="top" indent="7"/>
    </xf>
    <xf numFmtId="0" fontId="12" fillId="0" borderId="0" xfId="0" applyFont="1" applyAlignment="1" applyProtection="1">
      <alignment vertical="top"/>
    </xf>
    <xf numFmtId="0" fontId="22" fillId="0" borderId="0" xfId="0" applyFont="1" applyAlignment="1" applyProtection="1">
      <alignment vertical="top"/>
    </xf>
    <xf numFmtId="0" fontId="22" fillId="0" borderId="0" xfId="0" applyFont="1" applyAlignment="1" applyProtection="1">
      <alignment horizontal="left" vertical="top"/>
    </xf>
    <xf numFmtId="0" fontId="16" fillId="0" borderId="0" xfId="0" applyFont="1" applyAlignment="1" applyProtection="1">
      <alignment vertical="top"/>
      <protection locked="0" hidden="1"/>
    </xf>
    <xf numFmtId="44" fontId="16" fillId="0" borderId="0" xfId="0" applyNumberFormat="1" applyFont="1" applyAlignment="1" applyProtection="1">
      <alignment horizontal="left" vertical="top"/>
      <protection locked="0"/>
    </xf>
    <xf numFmtId="0" fontId="24" fillId="2" borderId="0" xfId="0" applyFont="1" applyFill="1" applyAlignment="1" applyProtection="1">
      <alignment horizontal="center" vertical="top"/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 applyProtection="1">
      <alignment horizontal="left" vertical="center"/>
      <protection locked="0" hidden="1"/>
    </xf>
    <xf numFmtId="0" fontId="15" fillId="0" borderId="0" xfId="0" applyFont="1" applyAlignment="1" applyProtection="1">
      <alignment horizontal="left" vertical="center"/>
      <protection locked="0"/>
    </xf>
    <xf numFmtId="0" fontId="15" fillId="0" borderId="0" xfId="0" applyNumberFormat="1" applyFont="1" applyAlignment="1" applyProtection="1">
      <alignment horizontal="center" vertical="top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14" xfId="0" applyFont="1" applyBorder="1" applyAlignment="1" applyProtection="1">
      <alignment vertical="top"/>
    </xf>
    <xf numFmtId="0" fontId="27" fillId="0" borderId="0" xfId="0" applyFont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center" vertical="top"/>
      <protection locked="0"/>
    </xf>
    <xf numFmtId="2" fontId="27" fillId="0" borderId="0" xfId="0" applyNumberFormat="1" applyFont="1" applyAlignment="1" applyProtection="1">
      <alignment horizontal="center" vertical="top"/>
      <protection locked="0"/>
    </xf>
    <xf numFmtId="0" fontId="15" fillId="0" borderId="0" xfId="0" quotePrefix="1" applyFont="1" applyAlignment="1" applyProtection="1">
      <alignment vertical="top"/>
      <protection locked="0" hidden="1"/>
    </xf>
    <xf numFmtId="0" fontId="27" fillId="0" borderId="0" xfId="0" applyFont="1" applyAlignment="1" applyProtection="1">
      <alignment horizontal="left" vertical="top" indent="10"/>
      <protection locked="0"/>
    </xf>
    <xf numFmtId="0" fontId="28" fillId="0" borderId="0" xfId="0" applyFont="1" applyAlignment="1" applyProtection="1">
      <alignment horizontal="right" vertical="top"/>
    </xf>
    <xf numFmtId="0" fontId="29" fillId="0" borderId="0" xfId="0" applyFont="1"/>
    <xf numFmtId="44" fontId="29" fillId="0" borderId="0" xfId="0" applyNumberFormat="1" applyFont="1"/>
    <xf numFmtId="0" fontId="30" fillId="0" borderId="0" xfId="0" applyFont="1"/>
    <xf numFmtId="0" fontId="31" fillId="0" borderId="0" xfId="0" applyFont="1"/>
    <xf numFmtId="44" fontId="31" fillId="0" borderId="0" xfId="0" applyNumberFormat="1" applyFont="1"/>
    <xf numFmtId="0" fontId="27" fillId="0" borderId="0" xfId="0" applyFont="1" applyAlignment="1" applyProtection="1">
      <alignment horizontal="left" vertical="top" wrapText="1" indent="10"/>
      <protection locked="0"/>
    </xf>
    <xf numFmtId="0" fontId="19" fillId="0" borderId="0" xfId="0" applyFont="1" applyAlignment="1" applyProtection="1">
      <alignment vertical="top" wrapText="1"/>
      <protection locked="0"/>
    </xf>
    <xf numFmtId="0" fontId="15" fillId="0" borderId="0" xfId="0" applyNumberFormat="1" applyFont="1" applyAlignment="1" applyProtection="1">
      <alignment horizontal="left" vertical="top"/>
      <protection locked="0"/>
    </xf>
    <xf numFmtId="2" fontId="19" fillId="0" borderId="0" xfId="0" applyNumberFormat="1" applyFont="1" applyAlignment="1" applyProtection="1">
      <alignment horizontal="center" vertical="top"/>
      <protection locked="0"/>
    </xf>
    <xf numFmtId="0" fontId="30" fillId="0" borderId="0" xfId="0" applyFont="1" applyAlignment="1">
      <alignment horizontal="left" indent="1"/>
    </xf>
    <xf numFmtId="0" fontId="29" fillId="0" borderId="0" xfId="0" applyFont="1" applyAlignment="1">
      <alignment horizontal="left" indent="1"/>
    </xf>
    <xf numFmtId="14" fontId="29" fillId="0" borderId="0" xfId="0" applyNumberFormat="1" applyFont="1" applyAlignment="1">
      <alignment horizontal="left" indent="1"/>
    </xf>
    <xf numFmtId="0" fontId="15" fillId="0" borderId="0" xfId="0" applyFont="1" applyProtection="1">
      <protection locked="0"/>
    </xf>
    <xf numFmtId="0" fontId="32" fillId="0" borderId="0" xfId="23" applyFont="1" applyAlignment="1">
      <alignment horizontal="left" vertical="center"/>
    </xf>
    <xf numFmtId="0" fontId="33" fillId="0" borderId="0" xfId="23" applyFont="1" applyAlignment="1">
      <alignment horizontal="center" vertical="center"/>
    </xf>
    <xf numFmtId="2" fontId="34" fillId="0" borderId="0" xfId="23" applyNumberFormat="1" applyFont="1" applyAlignment="1">
      <alignment horizontal="center" vertical="center"/>
    </xf>
    <xf numFmtId="0" fontId="34" fillId="0" borderId="0" xfId="23" applyFont="1" applyAlignment="1">
      <alignment horizontal="center" vertical="center"/>
    </xf>
    <xf numFmtId="0" fontId="35" fillId="0" borderId="0" xfId="23" applyFont="1" applyBorder="1" applyAlignment="1" applyProtection="1">
      <alignment horizontal="left" vertical="top" wrapText="1"/>
      <protection locked="0"/>
    </xf>
    <xf numFmtId="0" fontId="36" fillId="0" borderId="0" xfId="0" applyFont="1"/>
    <xf numFmtId="0" fontId="36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29" fillId="0" borderId="0" xfId="0" applyFont="1" applyAlignment="1">
      <alignment wrapText="1"/>
    </xf>
    <xf numFmtId="0" fontId="30" fillId="0" borderId="0" xfId="0" quotePrefix="1" applyFont="1"/>
    <xf numFmtId="49" fontId="29" fillId="0" borderId="0" xfId="0" applyNumberFormat="1" applyFont="1"/>
    <xf numFmtId="8" fontId="15" fillId="0" borderId="0" xfId="0" applyNumberFormat="1" applyFont="1" applyAlignment="1" applyProtection="1">
      <alignment vertical="top"/>
      <protection locked="0"/>
    </xf>
    <xf numFmtId="0" fontId="32" fillId="0" borderId="0" xfId="23" applyFont="1" applyAlignment="1" applyProtection="1">
      <alignment horizontal="left" vertical="center"/>
      <protection locked="0"/>
    </xf>
    <xf numFmtId="0" fontId="33" fillId="0" borderId="0" xfId="23" applyFont="1" applyAlignment="1" applyProtection="1">
      <alignment horizontal="center" vertical="center"/>
      <protection locked="0"/>
    </xf>
    <xf numFmtId="2" fontId="34" fillId="0" borderId="0" xfId="23" applyNumberFormat="1" applyFont="1" applyAlignment="1" applyProtection="1">
      <alignment horizontal="center" vertical="center"/>
      <protection locked="0"/>
    </xf>
    <xf numFmtId="2" fontId="34" fillId="3" borderId="0" xfId="23" applyNumberFormat="1" applyFont="1" applyFill="1" applyAlignment="1" applyProtection="1">
      <alignment horizontal="center" vertical="center"/>
      <protection locked="0"/>
    </xf>
    <xf numFmtId="0" fontId="36" fillId="0" borderId="0" xfId="0" quotePrefix="1" applyFont="1"/>
    <xf numFmtId="0" fontId="34" fillId="0" borderId="0" xfId="23" applyFont="1" applyAlignment="1" applyProtection="1">
      <alignment horizontal="left" vertical="center"/>
      <protection locked="0"/>
    </xf>
    <xf numFmtId="0" fontId="34" fillId="3" borderId="0" xfId="23" applyFont="1" applyFill="1" applyAlignment="1" applyProtection="1">
      <alignment horizontal="left" vertical="center"/>
      <protection locked="0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9" fillId="0" borderId="0" xfId="0" applyNumberFormat="1" applyFont="1"/>
    <xf numFmtId="0" fontId="8" fillId="0" borderId="0" xfId="0" applyFont="1" applyBorder="1"/>
    <xf numFmtId="0" fontId="8" fillId="0" borderId="15" xfId="0" applyFont="1" applyBorder="1"/>
    <xf numFmtId="0" fontId="8" fillId="0" borderId="16" xfId="0" applyFont="1" applyBorder="1"/>
    <xf numFmtId="0" fontId="8" fillId="0" borderId="17" xfId="0" applyFont="1" applyBorder="1"/>
    <xf numFmtId="0" fontId="38" fillId="0" borderId="15" xfId="23" applyFont="1" applyBorder="1" applyAlignment="1">
      <alignment horizontal="left" vertical="center"/>
    </xf>
    <xf numFmtId="0" fontId="38" fillId="0" borderId="16" xfId="23" applyFont="1" applyBorder="1" applyAlignment="1">
      <alignment horizontal="left" vertical="center"/>
    </xf>
    <xf numFmtId="0" fontId="38" fillId="0" borderId="17" xfId="23" applyFont="1" applyBorder="1" applyAlignment="1">
      <alignment horizontal="left" vertical="center"/>
    </xf>
    <xf numFmtId="0" fontId="37" fillId="0" borderId="18" xfId="0" applyFont="1" applyBorder="1"/>
    <xf numFmtId="0" fontId="39" fillId="0" borderId="15" xfId="23" applyFont="1" applyFill="1" applyBorder="1" applyAlignment="1">
      <alignment horizontal="center" vertical="center"/>
    </xf>
    <xf numFmtId="0" fontId="8" fillId="0" borderId="19" xfId="0" applyFont="1" applyBorder="1"/>
    <xf numFmtId="0" fontId="8" fillId="0" borderId="20" xfId="0" applyFont="1" applyBorder="1"/>
    <xf numFmtId="0" fontId="8" fillId="0" borderId="21" xfId="0" applyFont="1" applyBorder="1"/>
    <xf numFmtId="0" fontId="39" fillId="0" borderId="15" xfId="23" applyFont="1" applyBorder="1" applyAlignment="1">
      <alignment horizontal="left" vertical="center"/>
    </xf>
    <xf numFmtId="0" fontId="39" fillId="0" borderId="15" xfId="23" applyFont="1" applyBorder="1" applyAlignment="1">
      <alignment horizontal="center" vertical="center"/>
    </xf>
    <xf numFmtId="0" fontId="38" fillId="0" borderId="19" xfId="23" applyFont="1" applyBorder="1" applyAlignment="1">
      <alignment horizontal="left" vertical="center"/>
    </xf>
    <xf numFmtId="0" fontId="38" fillId="0" borderId="20" xfId="23" applyFont="1" applyBorder="1" applyAlignment="1">
      <alignment horizontal="left" vertical="center"/>
    </xf>
    <xf numFmtId="0" fontId="38" fillId="0" borderId="21" xfId="23" applyFont="1" applyBorder="1" applyAlignment="1">
      <alignment horizontal="left" vertical="center"/>
    </xf>
    <xf numFmtId="0" fontId="38" fillId="0" borderId="0" xfId="23" applyFont="1" applyBorder="1" applyAlignment="1">
      <alignment horizontal="left" vertical="center"/>
    </xf>
    <xf numFmtId="0" fontId="38" fillId="0" borderId="22" xfId="23" applyFont="1" applyBorder="1" applyAlignment="1">
      <alignment horizontal="left" vertical="center"/>
    </xf>
    <xf numFmtId="0" fontId="38" fillId="0" borderId="23" xfId="23" applyFont="1" applyBorder="1" applyAlignment="1">
      <alignment horizontal="left" vertical="center"/>
    </xf>
    <xf numFmtId="0" fontId="39" fillId="0" borderId="16" xfId="23" applyFont="1" applyFill="1" applyBorder="1" applyAlignment="1">
      <alignment horizontal="center" vertical="center"/>
    </xf>
    <xf numFmtId="44" fontId="18" fillId="0" borderId="3" xfId="0" applyNumberFormat="1" applyFont="1" applyBorder="1" applyAlignment="1" applyProtection="1">
      <alignment horizontal="center" vertical="center"/>
    </xf>
    <xf numFmtId="44" fontId="18" fillId="0" borderId="4" xfId="0" applyNumberFormat="1" applyFont="1" applyBorder="1" applyAlignment="1" applyProtection="1">
      <alignment horizontal="center" vertical="center"/>
    </xf>
    <xf numFmtId="0" fontId="23" fillId="5" borderId="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left" vertical="top" wrapText="1"/>
      <protection locked="0"/>
    </xf>
    <xf numFmtId="0" fontId="16" fillId="0" borderId="0" xfId="0" applyFont="1" applyAlignment="1" applyProtection="1">
      <alignment horizontal="left" vertical="top"/>
      <protection locked="0"/>
    </xf>
    <xf numFmtId="44" fontId="16" fillId="0" borderId="1" xfId="0" applyNumberFormat="1" applyFont="1" applyBorder="1" applyAlignment="1" applyProtection="1">
      <alignment horizontal="center" vertical="center"/>
    </xf>
    <xf numFmtId="44" fontId="16" fillId="0" borderId="2" xfId="0" applyNumberFormat="1" applyFont="1" applyBorder="1" applyAlignment="1" applyProtection="1">
      <alignment horizontal="center" vertical="center"/>
    </xf>
    <xf numFmtId="44" fontId="16" fillId="0" borderId="5" xfId="0" applyNumberFormat="1" applyFont="1" applyBorder="1" applyAlignment="1" applyProtection="1">
      <alignment horizontal="center" vertical="center"/>
    </xf>
    <xf numFmtId="44" fontId="16" fillId="0" borderId="13" xfId="0" applyNumberFormat="1" applyFont="1" applyBorder="1" applyAlignment="1" applyProtection="1">
      <alignment horizontal="center" vertical="center"/>
    </xf>
    <xf numFmtId="11" fontId="23" fillId="5" borderId="0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top" wrapText="1"/>
      <protection locked="0"/>
    </xf>
  </cellXfs>
  <cellStyles count="24">
    <cellStyle name="Euro" xfId="1"/>
    <cellStyle name="Euro 2" xfId="2"/>
    <cellStyle name="Flashing" xfId="10"/>
    <cellStyle name="Milliers 2" xfId="16"/>
    <cellStyle name="Monétaire 2" xfId="3"/>
    <cellStyle name="Monétaire 3" xfId="14"/>
    <cellStyle name="Normal" xfId="0" builtinId="0"/>
    <cellStyle name="Normal 2" xfId="4"/>
    <cellStyle name="Normal 2 2" xfId="7"/>
    <cellStyle name="Normal 3" xfId="5"/>
    <cellStyle name="Normal 3 2" xfId="8"/>
    <cellStyle name="Normal 3 2 2" xfId="17"/>
    <cellStyle name="Normal 3 2 3" xfId="20"/>
    <cellStyle name="Normal 3 3" xfId="15"/>
    <cellStyle name="Normal 3 4" xfId="19"/>
    <cellStyle name="Normal 4" xfId="6"/>
    <cellStyle name="Normal 5" xfId="9"/>
    <cellStyle name="Normal 5 2" xfId="13"/>
    <cellStyle name="Normal 5 3" xfId="22"/>
    <cellStyle name="Normal 6" xfId="11"/>
    <cellStyle name="Normal 7" xfId="12"/>
    <cellStyle name="Normal 8" xfId="18"/>
    <cellStyle name="Normal 9" xfId="23"/>
    <cellStyle name="Tableau MB" xfId="21"/>
  </cellStyles>
  <dxfs count="287"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/>
        <i val="0"/>
        <color rgb="FFEE5511"/>
      </font>
    </dxf>
    <dxf>
      <fill>
        <patternFill>
          <bgColor theme="6" tint="0.39994506668294322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0" formatCode="General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34" formatCode="_-* #,##0.00\ &quot;€&quot;_-;\-* #,##0.00\ &quot;€&quot;_-;_-* &quot;-&quot;??\ &quot;€&quot;_-;_-@_-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numFmt numFmtId="2" formatCode="0.00"/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center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8"/>
        <color auto="1"/>
        <name val="Abel"/>
        <scheme val="none"/>
      </font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general" vertical="top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bel"/>
        <scheme val="none"/>
      </font>
      <alignment horizontal="left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be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numFmt numFmtId="2" formatCode="0.0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043"/>
        <name val="Abel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Open Sans Condensed"/>
        <scheme val="none"/>
      </font>
      <alignment horizontal="left" vertical="center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ont>
        <b/>
        <i val="0"/>
      </font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</dxf>
    <dxf>
      <font>
        <b/>
        <i val="0"/>
      </font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ont>
        <color theme="0"/>
      </font>
      <fill>
        <patternFill>
          <bgColor rgb="FFEE5511"/>
        </patternFill>
      </fill>
    </dxf>
    <dxf>
      <fill>
        <patternFill>
          <bgColor rgb="FFEAEAEA"/>
        </patternFill>
      </fill>
    </dxf>
    <dxf>
      <fill>
        <patternFill>
          <bgColor rgb="FFF2F2F2"/>
        </patternFill>
      </fill>
    </dxf>
    <dxf>
      <font>
        <color theme="0"/>
      </font>
      <fill>
        <patternFill>
          <bgColor rgb="FFEE5511"/>
        </patternFill>
      </fill>
    </dxf>
    <dxf>
      <border>
        <left style="hair">
          <color auto="1"/>
        </left>
        <right style="hair">
          <color auto="1"/>
        </right>
        <bottom style="hair">
          <color auto="1"/>
        </bottom>
        <vertical style="hair">
          <color auto="1"/>
        </vertical>
      </border>
    </dxf>
    <dxf>
      <fill>
        <patternFill>
          <bgColor rgb="FFF7F7FF"/>
        </patternFill>
      </fill>
    </dxf>
    <dxf>
      <font>
        <b/>
        <i val="0"/>
        <color theme="0"/>
      </font>
      <fill>
        <patternFill>
          <bgColor rgb="FFEE5511"/>
        </patternFill>
      </fill>
      <border>
        <bottom style="hair">
          <color rgb="FF403F43"/>
        </bottom>
      </border>
    </dxf>
    <dxf>
      <border>
        <left style="hair">
          <color rgb="FF403F43"/>
        </left>
        <right style="hair">
          <color rgb="FF403F43"/>
        </right>
        <top style="hair">
          <color rgb="FF403F43"/>
        </top>
        <bottom style="hair">
          <color rgb="FF403F43"/>
        </bottom>
        <vertical style="hair">
          <color rgb="FF403F43"/>
        </vertical>
      </border>
    </dxf>
  </dxfs>
  <tableStyles count="7" defaultTableStyle="MB Conception" defaultPivotStyle="PivotStyleLight16">
    <tableStyle name="MB Conception" pivot="0" count="3">
      <tableStyleElement type="wholeTable" dxfId="286"/>
      <tableStyleElement type="headerRow" dxfId="285"/>
      <tableStyleElement type="secondRowStripe" dxfId="284"/>
    </tableStyle>
    <tableStyle name="MB Conception 2" pivot="0" count="4">
      <tableStyleElement type="wholeTable" dxfId="283"/>
      <tableStyleElement type="headerRow" dxfId="282"/>
      <tableStyleElement type="firstRowStripe" dxfId="281"/>
      <tableStyleElement type="secondRowStripe" dxfId="280"/>
    </tableStyle>
    <tableStyle name="OB1" pivot="0" count="2">
      <tableStyleElement type="headerRow" dxfId="279"/>
      <tableStyleElement type="firstColumn" dxfId="278"/>
    </tableStyle>
    <tableStyle name="OB1 2" pivot="0" count="3">
      <tableStyleElement type="headerRow" dxfId="277"/>
      <tableStyleElement type="firstColumn" dxfId="276"/>
      <tableStyleElement type="secondRowStripe" size="3" dxfId="275"/>
    </tableStyle>
    <tableStyle name="OB3" pivot="0" count="4">
      <tableStyleElement type="headerRow" dxfId="274"/>
      <tableStyleElement type="firstColumn" dxfId="273"/>
      <tableStyleElement type="firstRowStripe" size="3"/>
      <tableStyleElement type="secondRowStripe" size="3" dxfId="272"/>
    </tableStyle>
    <tableStyle name="OB3 2" pivot="0" count="4">
      <tableStyleElement type="headerRow" dxfId="271"/>
      <tableStyleElement type="firstColumn" dxfId="270"/>
      <tableStyleElement type="firstRowStripe" size="3" dxfId="269"/>
      <tableStyleElement type="secondRowStripe" size="3" dxfId="268"/>
    </tableStyle>
    <tableStyle name="OB3 2 2" pivot="0" count="5">
      <tableStyleElement type="wholeTable" dxfId="267"/>
      <tableStyleElement type="headerRow" dxfId="266"/>
      <tableStyleElement type="firstColumn" dxfId="265"/>
      <tableStyleElement type="firstRowStripe" size="3" dxfId="264"/>
      <tableStyleElement type="secondRowStripe" size="3" dxfId="263"/>
    </tableStyle>
  </tableStyles>
  <colors>
    <mruColors>
      <color rgb="FFEE5511"/>
      <color rgb="FFFCFCFC"/>
      <color rgb="FFFAFAFA"/>
      <color rgb="FFF5F5F5"/>
      <color rgb="FFFFFFFF"/>
      <color rgb="FF403F43"/>
      <color rgb="FF3366FF"/>
      <color rgb="FFFF99CC"/>
      <color rgb="FFFF808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Relationship Id="rId4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4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16.emf"/><Relationship Id="rId1" Type="http://schemas.openxmlformats.org/officeDocument/2006/relationships/image" Target="../media/image17.emf"/><Relationship Id="rId4" Type="http://schemas.openxmlformats.org/officeDocument/2006/relationships/image" Target="../media/image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Relationship Id="rId4" Type="http://schemas.openxmlformats.org/officeDocument/2006/relationships/image" Target="../media/image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2.emf"/><Relationship Id="rId1" Type="http://schemas.openxmlformats.org/officeDocument/2006/relationships/image" Target="../media/image23.emf"/><Relationship Id="rId4" Type="http://schemas.openxmlformats.org/officeDocument/2006/relationships/image" Target="../media/image4.emf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4" Type="http://schemas.openxmlformats.org/officeDocument/2006/relationships/image" Target="../media/image4.emf"/></Relationships>
</file>

<file path=xl/drawings/_rels/vmlDrawing9.vml.rels><?xml version="1.0" encoding="UTF-8" standalone="yes"?>
<Relationships xmlns="http://schemas.openxmlformats.org/package/2006/relationships"><Relationship Id="rId3" Type="http://schemas.openxmlformats.org/officeDocument/2006/relationships/image" Target="../media/image27.emf"/><Relationship Id="rId2" Type="http://schemas.openxmlformats.org/officeDocument/2006/relationships/image" Target="../media/image28.emf"/><Relationship Id="rId1" Type="http://schemas.openxmlformats.org/officeDocument/2006/relationships/image" Target="../media/image29.emf"/><Relationship Id="rId4" Type="http://schemas.openxmlformats.org/officeDocument/2006/relationships/image" Target="../media/image4.emf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1.emf"/><Relationship Id="rId1" Type="http://schemas.openxmlformats.org/officeDocument/2006/relationships/image" Target="../media/image30.emf"/><Relationship Id="rId4" Type="http://schemas.openxmlformats.org/officeDocument/2006/relationships/image" Target="../media/image4.emf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5.emf"/><Relationship Id="rId2" Type="http://schemas.openxmlformats.org/officeDocument/2006/relationships/image" Target="../media/image34.emf"/><Relationship Id="rId1" Type="http://schemas.openxmlformats.org/officeDocument/2006/relationships/image" Target="../media/image3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06849" name="Mode" hidden="1">
              <a:extLst>
                <a:ext uri="{63B3BB69-23CF-44E3-9099-C40C66FF867C}">
                  <a14:compatExt spid="_x0000_s206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06850" name="Presta" hidden="1">
              <a:extLst>
                <a:ext uri="{63B3BB69-23CF-44E3-9099-C40C66FF867C}">
                  <a14:compatExt spid="_x0000_s206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06851" name="PlusValue" hidden="1">
              <a:extLst>
                <a:ext uri="{63B3BB69-23CF-44E3-9099-C40C66FF867C}">
                  <a14:compatExt spid="_x0000_s206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06852" name="TauxPlusValue" hidden="1">
              <a:extLst>
                <a:ext uri="{63B3BB69-23CF-44E3-9099-C40C66FF867C}">
                  <a14:compatExt spid="_x0000_s206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10945" name="Mode" hidden="1">
              <a:extLst>
                <a:ext uri="{63B3BB69-23CF-44E3-9099-C40C66FF867C}">
                  <a14:compatExt spid="_x0000_s210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10946" name="Presta" hidden="1">
              <a:extLst>
                <a:ext uri="{63B3BB69-23CF-44E3-9099-C40C66FF867C}">
                  <a14:compatExt spid="_x0000_s210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10947" name="PlusValue" hidden="1">
              <a:extLst>
                <a:ext uri="{63B3BB69-23CF-44E3-9099-C40C66FF867C}">
                  <a14:compatExt spid="_x0000_s210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10948" name="TauxPlusValue" hidden="1">
              <a:extLst>
                <a:ext uri="{63B3BB69-23CF-44E3-9099-C40C66FF867C}">
                  <a14:compatExt spid="_x0000_s210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14017" name="Mode" hidden="1">
              <a:extLst>
                <a:ext uri="{63B3BB69-23CF-44E3-9099-C40C66FF867C}">
                  <a14:compatExt spid="_x0000_s214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14018" name="Presta" hidden="1">
              <a:extLst>
                <a:ext uri="{63B3BB69-23CF-44E3-9099-C40C66FF867C}">
                  <a14:compatExt spid="_x0000_s214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14019" name="PlusValue" hidden="1">
              <a:extLst>
                <a:ext uri="{63B3BB69-23CF-44E3-9099-C40C66FF867C}">
                  <a14:compatExt spid="_x0000_s214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14020" name="TauxPlusValue" hidden="1">
              <a:extLst>
                <a:ext uri="{63B3BB69-23CF-44E3-9099-C40C66FF867C}">
                  <a14:compatExt spid="_x0000_s214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15041" name="Mode" hidden="1">
              <a:extLst>
                <a:ext uri="{63B3BB69-23CF-44E3-9099-C40C66FF867C}">
                  <a14:compatExt spid="_x0000_s215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15042" name="Presta" hidden="1">
              <a:extLst>
                <a:ext uri="{63B3BB69-23CF-44E3-9099-C40C66FF867C}">
                  <a14:compatExt spid="_x0000_s215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15043" name="PlusValue" hidden="1">
              <a:extLst>
                <a:ext uri="{63B3BB69-23CF-44E3-9099-C40C66FF867C}">
                  <a14:compatExt spid="_x0000_s215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15044" name="TauxPlusValue" hidden="1">
              <a:extLst>
                <a:ext uri="{63B3BB69-23CF-44E3-9099-C40C66FF867C}">
                  <a14:compatExt spid="_x0000_s215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19137" name="Mode" hidden="1">
              <a:extLst>
                <a:ext uri="{63B3BB69-23CF-44E3-9099-C40C66FF867C}">
                  <a14:compatExt spid="_x0000_s219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19138" name="Presta" hidden="1">
              <a:extLst>
                <a:ext uri="{63B3BB69-23CF-44E3-9099-C40C66FF867C}">
                  <a14:compatExt spid="_x0000_s219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19139" name="PlusValue" hidden="1">
              <a:extLst>
                <a:ext uri="{63B3BB69-23CF-44E3-9099-C40C66FF867C}">
                  <a14:compatExt spid="_x0000_s219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19140" name="TauxPlusValue" hidden="1">
              <a:extLst>
                <a:ext uri="{63B3BB69-23CF-44E3-9099-C40C66FF867C}">
                  <a14:compatExt spid="_x0000_s219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20161" name="Mode" hidden="1">
              <a:extLst>
                <a:ext uri="{63B3BB69-23CF-44E3-9099-C40C66FF867C}">
                  <a14:compatExt spid="_x0000_s220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20162" name="Presta" hidden="1">
              <a:extLst>
                <a:ext uri="{63B3BB69-23CF-44E3-9099-C40C66FF867C}">
                  <a14:compatExt spid="_x0000_s220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20163" name="PlusValue" hidden="1">
              <a:extLst>
                <a:ext uri="{63B3BB69-23CF-44E3-9099-C40C66FF867C}">
                  <a14:compatExt spid="_x0000_s220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20164" name="TauxPlusValue" hidden="1">
              <a:extLst>
                <a:ext uri="{63B3BB69-23CF-44E3-9099-C40C66FF867C}">
                  <a14:compatExt spid="_x0000_s220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23233" name="Mode" hidden="1">
              <a:extLst>
                <a:ext uri="{63B3BB69-23CF-44E3-9099-C40C66FF867C}">
                  <a14:compatExt spid="_x0000_s22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23234" name="Presta" hidden="1">
              <a:extLst>
                <a:ext uri="{63B3BB69-23CF-44E3-9099-C40C66FF867C}">
                  <a14:compatExt spid="_x0000_s22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23235" name="PlusValue" hidden="1">
              <a:extLst>
                <a:ext uri="{63B3BB69-23CF-44E3-9099-C40C66FF867C}">
                  <a14:compatExt spid="_x0000_s22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23236" name="TauxPlusValue" hidden="1">
              <a:extLst>
                <a:ext uri="{63B3BB69-23CF-44E3-9099-C40C66FF867C}">
                  <a14:compatExt spid="_x0000_s22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28353" name="Mode" hidden="1">
              <a:extLst>
                <a:ext uri="{63B3BB69-23CF-44E3-9099-C40C66FF867C}">
                  <a14:compatExt spid="_x0000_s228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055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28354" name="Presta" hidden="1">
              <a:extLst>
                <a:ext uri="{63B3BB69-23CF-44E3-9099-C40C66FF867C}">
                  <a14:compatExt spid="_x0000_s228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28355" name="PlusValue" hidden="1">
              <a:extLst>
                <a:ext uri="{63B3BB69-23CF-44E3-9099-C40C66FF867C}">
                  <a14:compatExt spid="_x0000_s228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28356" name="TauxPlusValue" hidden="1">
              <a:extLst>
                <a:ext uri="{63B3BB69-23CF-44E3-9099-C40C66FF867C}">
                  <a14:compatExt spid="_x0000_s228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26305" name="Mode" hidden="1">
              <a:extLst>
                <a:ext uri="{63B3BB69-23CF-44E3-9099-C40C66FF867C}">
                  <a14:compatExt spid="_x0000_s226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532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26306" name="Presta" hidden="1">
              <a:extLst>
                <a:ext uri="{63B3BB69-23CF-44E3-9099-C40C66FF867C}">
                  <a14:compatExt spid="_x0000_s226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26307" name="PlusValue" hidden="1">
              <a:extLst>
                <a:ext uri="{63B3BB69-23CF-44E3-9099-C40C66FF867C}">
                  <a14:compatExt spid="_x0000_s226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26308" name="TauxPlusValue" hidden="1">
              <a:extLst>
                <a:ext uri="{63B3BB69-23CF-44E3-9099-C40C66FF867C}">
                  <a14:compatExt spid="_x0000_s226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36545" name="Mode" hidden="1">
              <a:extLst>
                <a:ext uri="{63B3BB69-23CF-44E3-9099-C40C66FF867C}">
                  <a14:compatExt spid="_x0000_s236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055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36546" name="Presta" hidden="1">
              <a:extLst>
                <a:ext uri="{63B3BB69-23CF-44E3-9099-C40C66FF867C}">
                  <a14:compatExt spid="_x0000_s236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36547" name="PlusValue" hidden="1">
              <a:extLst>
                <a:ext uri="{63B3BB69-23CF-44E3-9099-C40C66FF867C}">
                  <a14:compatExt spid="_x0000_s236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36548" name="TauxPlusValue" hidden="1">
              <a:extLst>
                <a:ext uri="{63B3BB69-23CF-44E3-9099-C40C66FF867C}">
                  <a14:compatExt spid="_x0000_s236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</xdr:row>
          <xdr:rowOff>133350</xdr:rowOff>
        </xdr:from>
        <xdr:to>
          <xdr:col>1</xdr:col>
          <xdr:colOff>533400</xdr:colOff>
          <xdr:row>8</xdr:row>
          <xdr:rowOff>104775</xdr:rowOff>
        </xdr:to>
        <xdr:sp macro="" textlink="">
          <xdr:nvSpPr>
            <xdr:cNvPr id="238593" name="Mode" hidden="1">
              <a:extLst>
                <a:ext uri="{63B3BB69-23CF-44E3-9099-C40C66FF867C}">
                  <a14:compatExt spid="_x0000_s238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7328</xdr:colOff>
      <xdr:row>0</xdr:row>
      <xdr:rowOff>7328</xdr:rowOff>
    </xdr:from>
    <xdr:to>
      <xdr:col>3</xdr:col>
      <xdr:colOff>721511</xdr:colOff>
      <xdr:row>4</xdr:row>
      <xdr:rowOff>36636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628" y="7328"/>
          <a:ext cx="961833" cy="70558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152400</xdr:rowOff>
        </xdr:from>
        <xdr:to>
          <xdr:col>1</xdr:col>
          <xdr:colOff>533400</xdr:colOff>
          <xdr:row>9</xdr:row>
          <xdr:rowOff>466725</xdr:rowOff>
        </xdr:to>
        <xdr:sp macro="" textlink="">
          <xdr:nvSpPr>
            <xdr:cNvPr id="238594" name="Presta" hidden="1">
              <a:extLst>
                <a:ext uri="{63B3BB69-23CF-44E3-9099-C40C66FF867C}">
                  <a14:compatExt spid="_x0000_s238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171450</xdr:rowOff>
        </xdr:from>
        <xdr:to>
          <xdr:col>1</xdr:col>
          <xdr:colOff>200025</xdr:colOff>
          <xdr:row>10</xdr:row>
          <xdr:rowOff>390525</xdr:rowOff>
        </xdr:to>
        <xdr:sp macro="" textlink="">
          <xdr:nvSpPr>
            <xdr:cNvPr id="238595" name="PlusValue" hidden="1">
              <a:extLst>
                <a:ext uri="{63B3BB69-23CF-44E3-9099-C40C66FF867C}">
                  <a14:compatExt spid="_x0000_s238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10</xdr:row>
          <xdr:rowOff>171450</xdr:rowOff>
        </xdr:from>
        <xdr:to>
          <xdr:col>1</xdr:col>
          <xdr:colOff>514350</xdr:colOff>
          <xdr:row>10</xdr:row>
          <xdr:rowOff>381000</xdr:rowOff>
        </xdr:to>
        <xdr:sp macro="" textlink="">
          <xdr:nvSpPr>
            <xdr:cNvPr id="238596" name="TauxPlusValue" hidden="1">
              <a:extLst>
                <a:ext uri="{63B3BB69-23CF-44E3-9099-C40C66FF867C}">
                  <a14:compatExt spid="_x0000_s238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6" name="Menuiseries" displayName="Menuiseries" ref="A1:Y36" headerRowDxfId="262" dataDxfId="261" totalsRowDxfId="260">
  <autoFilter ref="A1:Y36"/>
  <tableColumns count="25">
    <tableColumn id="1" name="Rep" totalsRowLabel="Total" dataDxfId="259" totalsRowDxfId="258"/>
    <tableColumn id="2" name="Larg." dataDxfId="257" totalsRowDxfId="256"/>
    <tableColumn id="3" name="Haut." dataDxfId="255" totalsRowDxfId="254"/>
    <tableColumn id="21" name="Surface" dataDxfId="253" totalsRowDxfId="252" dataCellStyle="Normal 9">
      <calculatedColumnFormula>IF(Menuiseries[[#This Row],[N.H.]]="Oui",Menuiseries[[#This Row],[Larg.]]*Menuiseries[[#This Row],[Haut.]],IF(Menuiseries[[#This Row],[N.H.]]="",Menuiseries[[#This Row],[Larg.]]*Menuiseries[[#This Row],[Haut.]],""))</calculatedColumnFormula>
    </tableColumn>
    <tableColumn id="22" name="N.H." dataDxfId="251" totalsRowDxfId="250" dataCellStyle="Normal 9"/>
    <tableColumn id="4" name="All." dataDxfId="249">
      <calculatedColumnFormula>IF(Menuiseries[[#This Row],[Haut.]]="","",2.15-Menuiseries[[#This Row],[Haut.]])</calculatedColumnFormula>
    </tableColumn>
    <tableColumn id="19" name="Orientation" dataDxfId="248" totalsRowDxfId="247"/>
    <tableColumn id="20" name="Embrasure" dataDxfId="246" totalsRowDxfId="245"/>
    <tableColumn id="25" name="L. embras." dataDxfId="244" totalsRowDxfId="243" dataCellStyle="Normal 9">
      <calculatedColumnFormula>IF(Menuiseries[[#This Row],[Embrasure]]="Oui",Menuiseries[[#This Row],[Larg.]]+2*Menuiseries[[#This Row],[Haut.]],"")</calculatedColumnFormula>
    </tableColumn>
    <tableColumn id="5" name="Famille" dataDxfId="242" totalsRowDxfId="241"/>
    <tableColumn id="6" name="Dormant" dataDxfId="240" totalsRowDxfId="239"/>
    <tableColumn id="7" name="Couleur" dataDxfId="238">
      <calculatedColumnFormula>IF(Menuiseries[[#This Row],[Couleur int.]]="","",IF(Menuiseries[[#This Row],[Couleur ext.]]=Menuiseries[[#This Row],[Couleur int.]],"Monocolore","Bicolore"))</calculatedColumnFormula>
    </tableColumn>
    <tableColumn id="8" name="Couleur int." dataDxfId="237" totalsRowDxfId="236"/>
    <tableColumn id="9" name="Couleur ext." dataDxfId="235" totalsRowDxfId="234"/>
    <tableColumn id="10" name="Vitrage" dataDxfId="233" totalsRowDxfId="232"/>
    <tableColumn id="11" name="Fermeture" dataDxfId="231" totalsRowDxfId="230"/>
    <tableColumn id="23" name="Bandeaux int." dataDxfId="229" totalsRowDxfId="228" dataCellStyle="Normal 9">
      <calculatedColumnFormula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calculatedColumnFormula>
    </tableColumn>
    <tableColumn id="24" name="Tableaux enduit" dataDxfId="227" totalsRowDxfId="226" dataCellStyle="Normal 9">
      <calculatedColumnFormula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calculatedColumnFormula>
    </tableColumn>
    <tableColumn id="12" name="Coffre" dataDxfId="225" totalsRowDxfId="224"/>
    <tableColumn id="13" name="Moteur" dataDxfId="223" totalsRowDxfId="222"/>
    <tableColumn id="14" name="Commande" dataDxfId="221" totalsRowDxfId="220"/>
    <tableColumn id="15" name="Tablier" dataDxfId="219" totalsRowDxfId="218"/>
    <tableColumn id="16" name="Couleur tablier" dataDxfId="217" totalsRowDxfId="216"/>
    <tableColumn id="17" name="Couleur coulisses" dataDxfId="215" totalsRowDxfId="214"/>
    <tableColumn id="18" name="Ventilation" totalsRowFunction="count" dataDxfId="213" totalsRowDxfId="212"/>
  </tableColumns>
  <tableStyleInfo name="MB Conception" showFirstColumn="0" showLastColumn="0" showRowStripes="1" showColumnStripes="0"/>
</table>
</file>

<file path=xl/tables/table2.xml><?xml version="1.0" encoding="utf-8"?>
<table xmlns="http://schemas.openxmlformats.org/spreadsheetml/2006/main" id="37" name="menuiseriesob1" displayName="menuiseriesob1" ref="A2:N62" totalsRowShown="0" headerRowDxfId="211" dataDxfId="210">
  <autoFilter ref="A2:N62"/>
  <tableColumns count="14">
    <tableColumn id="1" name="Hauteur" dataDxfId="209"/>
    <tableColumn id="2" name="Dormant" dataDxfId="208"/>
    <tableColumn id="3" name="410" dataDxfId="207"/>
    <tableColumn id="4" name="500" dataDxfId="206"/>
    <tableColumn id="5" name="600" dataDxfId="205"/>
    <tableColumn id="6" name="700" dataDxfId="204"/>
    <tableColumn id="7" name="800" dataDxfId="203"/>
    <tableColumn id="8" name="900" dataDxfId="202"/>
    <tableColumn id="9" name="1000" dataDxfId="201"/>
    <tableColumn id="10" name="1100" dataDxfId="200"/>
    <tableColumn id="11" name="1200" dataDxfId="199"/>
    <tableColumn id="12" name="1300" dataDxfId="198"/>
    <tableColumn id="13" name="1400" dataDxfId="197"/>
    <tableColumn id="14" name="1500" dataDxfId="196"/>
  </tableColumns>
  <tableStyleInfo name="OB3 2 2" showFirstColumn="0" showLastColumn="0" showRowStripes="1" showColumnStripes="0"/>
</table>
</file>

<file path=xl/tables/table3.xml><?xml version="1.0" encoding="utf-8"?>
<table xmlns="http://schemas.openxmlformats.org/spreadsheetml/2006/main" id="5" name="Demolitions1" displayName="Demolitions1" ref="A13:J25" headerRowDxfId="195" dataDxfId="194" totalsRowDxfId="193">
  <autoFilter ref="A13:J25"/>
  <tableColumns count="10">
    <tableColumn id="1" name="INDEX" totalsRowLabel="Total" dataDxfId="192"/>
    <tableColumn id="9" name="PRESTA" dataDxfId="191"/>
    <tableColumn id="2" name="N°" dataDxfId="190"/>
    <tableColumn id="3" name="DESIGNATION" dataDxfId="189"/>
    <tableColumn id="10" name="PHOTO" dataDxfId="188"/>
    <tableColumn id="4" name="UN" dataDxfId="187"/>
    <tableColumn id="5" name="QUANTITE" dataDxfId="186"/>
    <tableColumn id="6" name="P.U." dataDxfId="185"/>
    <tableColumn id="7" name="TOTAL H.T." dataDxfId="184">
      <calculatedColumnFormula>IF(AND(RIGHT(Demolitions1[[#This Row],[INDEX]],3)&lt;&gt;"000",Demolitions1[[#This Row],[INDEX]]&lt;&gt;""),Demolitions1[[#This Row],[QUANTITE]]*Demolitions1[[#This Row],[P.U.]],"")</calculatedColumnFormula>
    </tableColumn>
    <tableColumn id="8" name="TVA" totalsRowFunction="count" dataDxfId="183">
      <calculatedColumnFormula>IF(AND(RIGHT(Demolitions1[[#This Row],[INDEX]],3)&lt;&gt;"000",Demolitions1[[#This Row],[INDEX]]&lt;&gt;""),IF(Demolitions1[[#This Row],[PRESTA]]="F","1","1"),"")</calculatedColumnFormula>
    </tableColumn>
  </tableColumns>
  <tableStyleInfo name="MB Conception" showFirstColumn="0" showLastColumn="0" showRowStripes="1" showColumnStripes="0"/>
</table>
</file>

<file path=xl/tables/table4.xml><?xml version="1.0" encoding="utf-8"?>
<table xmlns="http://schemas.openxmlformats.org/spreadsheetml/2006/main" id="4" name="Bacacier1" displayName="Bacacier1" ref="A13:J28" headerRowDxfId="182" dataDxfId="181" totalsRowDxfId="180">
  <autoFilter ref="A13:J28"/>
  <tableColumns count="10">
    <tableColumn id="1" name="INDEX" totalsRowLabel="Total" dataDxfId="179"/>
    <tableColumn id="9" name="PRESTA" dataDxfId="178"/>
    <tableColumn id="2" name="N°" dataDxfId="177"/>
    <tableColumn id="3" name="DESIGNATION" dataDxfId="176"/>
    <tableColumn id="10" name="PHOTO" dataDxfId="175"/>
    <tableColumn id="4" name="UN" dataDxfId="174"/>
    <tableColumn id="5" name="QUANTITE" dataDxfId="173"/>
    <tableColumn id="6" name="P.U." dataDxfId="172"/>
    <tableColumn id="7" name="TOTAL H.T." dataDxfId="171">
      <calculatedColumnFormula>IF(AND(RIGHT(Bacacier1[[#This Row],[INDEX]],3)&lt;&gt;"000",Bacacier1[[#This Row],[INDEX]]&lt;&gt;""),Bacacier1[[#This Row],[QUANTITE]]*Bacacier1[[#This Row],[P.U.]],"")</calculatedColumnFormula>
    </tableColumn>
    <tableColumn id="8" name="TVA" totalsRowFunction="count" dataDxfId="170">
      <calculatedColumnFormula>IF(AND(RIGHT(Bacacier1[[#This Row],[INDEX]],3)&lt;&gt;"000",Bacacier1[[#This Row],[INDEX]]&lt;&gt;""),IF(Bacacier1[[#This Row],[PRESTA]]="F","1","1"),"")</calculatedColumnFormula>
    </tableColumn>
  </tableColumns>
  <tableStyleInfo name="MB Conception" showFirstColumn="0" showLastColumn="0" showRowStripes="1" showColumnStripes="0"/>
</table>
</file>

<file path=xl/tables/table5.xml><?xml version="1.0" encoding="utf-8"?>
<table xmlns="http://schemas.openxmlformats.org/spreadsheetml/2006/main" id="8" name="Etancheite1" displayName="Etancheite1" ref="A13:J44" headerRowDxfId="169" dataDxfId="168" totalsRowDxfId="167">
  <autoFilter ref="A13:J44"/>
  <tableColumns count="10">
    <tableColumn id="1" name="INDEX" totalsRowLabel="Total" dataDxfId="166"/>
    <tableColumn id="9" name="PRESTA" dataDxfId="165"/>
    <tableColumn id="2" name="N°" dataDxfId="164">
      <calculatedColumnFormula>C$14&amp;"."&amp;COUNTA(C13:C$14)</calculatedColumnFormula>
    </tableColumn>
    <tableColumn id="3" name="DESIGNATION" dataDxfId="163"/>
    <tableColumn id="10" name="PHOTO" dataDxfId="162"/>
    <tableColumn id="4" name="UN" dataDxfId="161"/>
    <tableColumn id="5" name="QUANTITE" dataDxfId="160"/>
    <tableColumn id="6" name="P.U." dataDxfId="159"/>
    <tableColumn id="7" name="TOTAL H.T." dataDxfId="158">
      <calculatedColumnFormula>IF(AND(RIGHT(Etancheite1[[#This Row],[INDEX]],3)&lt;&gt;"000",Etancheite1[[#This Row],[INDEX]]&lt;&gt;""),Etancheite1[[#This Row],[QUANTITE]]*Etancheite1[[#This Row],[P.U.]],"")</calculatedColumnFormula>
    </tableColumn>
    <tableColumn id="8" name="TVA" totalsRowFunction="count" dataDxfId="157">
      <calculatedColumnFormula>IF(AND(RIGHT(Etancheite1[[#This Row],[INDEX]],3)&lt;&gt;"000",Etancheite1[[#This Row],[INDEX]]&lt;&gt;""),IF(Etancheite1[[#This Row],[PRESTA]]="F","1","1"),"")</calculatedColumnFormula>
    </tableColumn>
  </tableColumns>
  <tableStyleInfo name="MB Conception" showFirstColumn="0" showLastColumn="0" showRowStripes="1" showColumnStripes="0"/>
</table>
</file>

<file path=xl/tables/table6.xml><?xml version="1.0" encoding="utf-8"?>
<table xmlns="http://schemas.openxmlformats.org/spreadsheetml/2006/main" id="9" name="Chassisdetoit1" displayName="Chassisdetoit1" ref="A13:J18" headerRowDxfId="156" dataDxfId="155" totalsRowDxfId="154">
  <autoFilter ref="A13:J18"/>
  <tableColumns count="10">
    <tableColumn id="1" name="INDEX" totalsRowLabel="Total" dataDxfId="153"/>
    <tableColumn id="9" name="PRESTA" dataDxfId="152"/>
    <tableColumn id="2" name="N°" dataDxfId="151"/>
    <tableColumn id="3" name="DESIGNATION" dataDxfId="150"/>
    <tableColumn id="10" name="PHOTO" dataDxfId="149"/>
    <tableColumn id="4" name="UN" dataDxfId="148"/>
    <tableColumn id="5" name="QUANTITE" dataDxfId="147"/>
    <tableColumn id="6" name="P.U." dataDxfId="146"/>
    <tableColumn id="7" name="TOTAL H.T." dataDxfId="145">
      <calculatedColumnFormula>IF(AND(RIGHT(Chassisdetoit1[[#This Row],[INDEX]],3)&lt;&gt;"000",Chassisdetoit1[[#This Row],[INDEX]]&lt;&gt;""),Chassisdetoit1[[#This Row],[QUANTITE]]*Chassisdetoit1[[#This Row],[P.U.]],"")</calculatedColumnFormula>
    </tableColumn>
    <tableColumn id="8" name="TVA" totalsRowFunction="count" dataDxfId="144">
      <calculatedColumnFormula>IF(AND(RIGHT(Chassisdetoit1[[#This Row],[INDEX]],3)&lt;&gt;"000",Chassisdetoit1[[#This Row],[INDEX]]&lt;&gt;""),IF(Chassisdetoit1[[#This Row],[PRESTA]]="F","1","1"),"")</calculatedColumnFormula>
    </tableColumn>
  </tableColumns>
  <tableStyleInfo name="MB Conception" showFirstColumn="0" showLastColumn="0" showRowStripes="1" showColumnStripes="0"/>
</table>
</file>

<file path=xl/tables/table7.xml><?xml version="1.0" encoding="utf-8"?>
<table xmlns="http://schemas.openxmlformats.org/spreadsheetml/2006/main" id="12" name="Charpentemetallique1" displayName="Charpentemetallique1" ref="A13:J15" headerRowDxfId="143" dataDxfId="142" totalsRowDxfId="141">
  <autoFilter ref="A13:J15"/>
  <tableColumns count="10">
    <tableColumn id="1" name="INDEX" totalsRowLabel="Total" dataDxfId="140"/>
    <tableColumn id="9" name="PRESTA" dataDxfId="139"/>
    <tableColumn id="2" name="N°" dataDxfId="138"/>
    <tableColumn id="3" name="DESIGNATION" dataDxfId="137"/>
    <tableColumn id="10" name="PHOTO" dataDxfId="136"/>
    <tableColumn id="4" name="UN" dataDxfId="135"/>
    <tableColumn id="5" name="QUANTITE" dataDxfId="134"/>
    <tableColumn id="6" name="P.U." dataDxfId="133"/>
    <tableColumn id="7" name="TOTAL H.T." dataDxfId="132">
      <calculatedColumnFormula>IF(AND(RIGHT(Charpentemetallique1[[#This Row],[INDEX]],3)&lt;&gt;"000",Charpentemetallique1[[#This Row],[INDEX]]&lt;&gt;""),Charpentemetallique1[[#This Row],[QUANTITE]]*Charpentemetallique1[[#This Row],[P.U.]],"")</calculatedColumnFormula>
    </tableColumn>
    <tableColumn id="8" name="TVA" totalsRowFunction="count" dataDxfId="131">
      <calculatedColumnFormula>IF(AND(RIGHT(Charpentemetallique1[[#This Row],[INDEX]],3)&lt;&gt;"000",Charpentemetallique1[[#This Row],[INDEX]]&lt;&gt;""),IF(Charpentemetallique1[[#This Row],[PRESTA]]="F","1","1"),"")</calculatedColumnFormula>
    </tableColumn>
  </tableColumns>
  <tableStyleInfo name="MB Conception" showFirstColumn="0" showLastColumn="0" showRowStripes="1" showColumnStripes="0"/>
</table>
</file>

<file path=xl/tables/table8.xml><?xml version="1.0" encoding="utf-8"?>
<table xmlns="http://schemas.openxmlformats.org/spreadsheetml/2006/main" id="13" name="Serrurerie1" displayName="Serrurerie1" ref="A13:J14" headerRowDxfId="130" dataDxfId="129" totalsRowDxfId="128">
  <autoFilter ref="A13:J14"/>
  <tableColumns count="10">
    <tableColumn id="1" name="INDEX" totalsRowLabel="Total" dataDxfId="127"/>
    <tableColumn id="9" name="PRESTA" dataDxfId="126"/>
    <tableColumn id="2" name="N°" dataDxfId="125"/>
    <tableColumn id="3" name="DESIGNATION" dataDxfId="124"/>
    <tableColumn id="10" name="PHOTO" dataDxfId="123"/>
    <tableColumn id="4" name="UN" dataDxfId="122"/>
    <tableColumn id="5" name="QUANTITE" dataDxfId="121"/>
    <tableColumn id="6" name="P.U." dataDxfId="120"/>
    <tableColumn id="7" name="TOTAL H.T." dataDxfId="119">
      <calculatedColumnFormula>IF(AND(RIGHT(Serrurerie1[[#This Row],[INDEX]],3)&lt;&gt;"000",Serrurerie1[[#This Row],[INDEX]]&lt;&gt;""),Serrurerie1[[#This Row],[QUANTITE]]*Serrurerie1[[#This Row],[P.U.]],"")</calculatedColumnFormula>
    </tableColumn>
    <tableColumn id="8" name="TVA" totalsRowFunction="count" dataDxfId="118">
      <calculatedColumnFormula>IF(AND(RIGHT(Serrurerie1[[#This Row],[INDEX]],3)&lt;&gt;"000",Serrurerie1[[#This Row],[INDEX]]&lt;&gt;""),IF(Serrurerie1[[#This Row],[PRESTA]]="F","1","1"),"")</calculatedColumnFormula>
    </tableColumn>
  </tableColumns>
  <tableStyleInfo name="MB Conception" showFirstColumn="0" showLastColumn="0" showRowStripes="1" showColumnStripes="0"/>
</table>
</file>

<file path=xl/tables/table9.xml><?xml version="1.0" encoding="utf-8"?>
<table xmlns="http://schemas.openxmlformats.org/spreadsheetml/2006/main" id="16" name="Escalier1" displayName="Escalier1" ref="A13:J21" headerRowDxfId="117" dataDxfId="116" totalsRowDxfId="115">
  <autoFilter ref="A13:J21"/>
  <tableColumns count="10">
    <tableColumn id="1" name="INDEX" totalsRowLabel="Total" dataDxfId="114"/>
    <tableColumn id="9" name="PRESTA" dataDxfId="113"/>
    <tableColumn id="2" name="N°" dataDxfId="112"/>
    <tableColumn id="3" name="DESIGNATION" dataDxfId="111"/>
    <tableColumn id="10" name="PHOTO" dataDxfId="110"/>
    <tableColumn id="4" name="UN" dataDxfId="109"/>
    <tableColumn id="5" name="QUANTITE" dataDxfId="108"/>
    <tableColumn id="6" name="P.U." dataDxfId="107"/>
    <tableColumn id="7" name="TOTAL H.T." dataDxfId="106">
      <calculatedColumnFormula>IF(AND(RIGHT(Escalier1[[#This Row],[INDEX]],3)&lt;&gt;"000",Escalier1[[#This Row],[INDEX]]&lt;&gt;""),Escalier1[[#This Row],[QUANTITE]]*Escalier1[[#This Row],[P.U.]],"")</calculatedColumnFormula>
    </tableColumn>
    <tableColumn id="8" name="TVA" totalsRowFunction="count" dataDxfId="105">
      <calculatedColumnFormula>IF(AND(RIGHT(Escalier1[[#This Row],[INDEX]],3)&lt;&gt;"000",Escalier1[[#This Row],[INDEX]]&lt;&gt;""),IF(Escalier1[[#This Row],[PRESTA]]="F","1","1"),"")</calculatedColumnFormula>
    </tableColumn>
  </tableColumns>
  <tableStyleInfo name="MB Conception" showFirstColumn="0" showLastColumn="0" showRowStripes="1" showColumnStripes="0"/>
</table>
</file>

<file path=xl/tables/table10.xml><?xml version="1.0" encoding="utf-8"?>
<table xmlns="http://schemas.openxmlformats.org/spreadsheetml/2006/main" id="20" name="Plafondssuspendus1" displayName="Plafondssuspendus1" ref="A13:J14" headerRowDxfId="104" dataDxfId="103" totalsRowDxfId="102">
  <autoFilter ref="A13:J14"/>
  <tableColumns count="10">
    <tableColumn id="1" name="INDEX" totalsRowLabel="Total" dataDxfId="101"/>
    <tableColumn id="9" name="PRESTA" dataDxfId="100"/>
    <tableColumn id="2" name="N°" dataDxfId="99"/>
    <tableColumn id="3" name="DESIGNATION" dataDxfId="98"/>
    <tableColumn id="10" name="PHOTO" dataDxfId="97"/>
    <tableColumn id="4" name="UN" dataDxfId="96"/>
    <tableColumn id="5" name="QUANTITE" dataDxfId="95"/>
    <tableColumn id="6" name="P.U." dataDxfId="94"/>
    <tableColumn id="7" name="TOTAL H.T." dataDxfId="93">
      <calculatedColumnFormula>IF(AND(RIGHT(Plafondssuspendus1[[#This Row],[INDEX]],3)&lt;&gt;"000",Plafondssuspendus1[[#This Row],[INDEX]]&lt;&gt;""),Plafondssuspendus1[[#This Row],[QUANTITE]]*Plafondssuspendus1[[#This Row],[P.U.]],"")</calculatedColumnFormula>
    </tableColumn>
    <tableColumn id="8" name="TVA" totalsRowFunction="count" dataDxfId="92">
      <calculatedColumnFormula>IF(AND(RIGHT(Plafondssuspendus1[[#This Row],[INDEX]],3)&lt;&gt;"000",Plafondssuspendus1[[#This Row],[INDEX]]&lt;&gt;""),IF(Plafondssuspendus1[[#This Row],[PRESTA]]="F","1","1"),"")</calculatedColumnFormula>
    </tableColumn>
  </tableColumns>
  <tableStyleInfo name="MB Conception" showFirstColumn="0" showLastColumn="0" showRowStripes="1" showColumnStripes="0"/>
</table>
</file>

<file path=xl/tables/table11.xml><?xml version="1.0" encoding="utf-8"?>
<table xmlns="http://schemas.openxmlformats.org/spreadsheetml/2006/main" id="19" name="Platrerie1" displayName="Platrerie1" ref="A13:J28" headerRowDxfId="91" dataDxfId="90" totalsRowDxfId="89">
  <autoFilter ref="A13:J28"/>
  <tableColumns count="10">
    <tableColumn id="1" name="INDEX" totalsRowLabel="Total" dataDxfId="88"/>
    <tableColumn id="9" name="PRESTA" dataDxfId="87"/>
    <tableColumn id="2" name="N°" dataDxfId="86"/>
    <tableColumn id="3" name="DESIGNATION" dataDxfId="85"/>
    <tableColumn id="10" name="PHOTO" dataDxfId="84"/>
    <tableColumn id="4" name="UN" dataDxfId="83"/>
    <tableColumn id="5" name="QUANTITE" dataDxfId="82"/>
    <tableColumn id="6" name="P.U." dataDxfId="81"/>
    <tableColumn id="7" name="TOTAL H.T." dataDxfId="80">
      <calculatedColumnFormula>IF(AND(RIGHT(Platrerie1[[#This Row],[INDEX]],3)&lt;&gt;"000",Platrerie1[[#This Row],[INDEX]]&lt;&gt;""),Platrerie1[[#This Row],[QUANTITE]]*Platrerie1[[#This Row],[P.U.]],"")</calculatedColumnFormula>
    </tableColumn>
    <tableColumn id="8" name="TVA" totalsRowFunction="count" dataDxfId="79">
      <calculatedColumnFormula>IF(AND(RIGHT(Platrerie1[[#This Row],[INDEX]],3)&lt;&gt;"000",Platrerie1[[#This Row],[INDEX]]&lt;&gt;""),IF(Platrerie1[[#This Row],[PRESTA]]="F","1","1"),"")</calculatedColumnFormula>
    </tableColumn>
  </tableColumns>
  <tableStyleInfo name="MB Conception" showFirstColumn="0" showLastColumn="0" showRowStripes="1" showColumnStripes="0"/>
</table>
</file>

<file path=xl/tables/table12.xml><?xml version="1.0" encoding="utf-8"?>
<table xmlns="http://schemas.openxmlformats.org/spreadsheetml/2006/main" id="28" name="Peinture1" displayName="Peinture1" ref="A13:J25" headerRowDxfId="78" dataDxfId="77" totalsRowDxfId="76">
  <autoFilter ref="A13:J25"/>
  <tableColumns count="10">
    <tableColumn id="1" name="INDEX" totalsRowLabel="Total" dataDxfId="75"/>
    <tableColumn id="9" name="PRESTA" dataDxfId="74"/>
    <tableColumn id="2" name="N°" dataDxfId="73"/>
    <tableColumn id="3" name="DESIGNATION" dataDxfId="72"/>
    <tableColumn id="10" name="PHOTO" dataDxfId="71"/>
    <tableColumn id="4" name="UN" dataDxfId="70"/>
    <tableColumn id="5" name="QUANTITE" dataDxfId="69"/>
    <tableColumn id="6" name="P.U." dataDxfId="68"/>
    <tableColumn id="7" name="TOTAL H.T." dataDxfId="67">
      <calculatedColumnFormula>IF(AND(RIGHT(Peinture1[[#This Row],[INDEX]],3)&lt;&gt;"000",Peinture1[[#This Row],[INDEX]]&lt;&gt;""),Peinture1[[#This Row],[QUANTITE]]*Peinture1[[#This Row],[P.U.]],"")</calculatedColumnFormula>
    </tableColumn>
    <tableColumn id="8" name="TVA" totalsRowFunction="count" dataDxfId="66">
      <calculatedColumnFormula>IF(AND(RIGHT(Peinture1[[#This Row],[INDEX]],3)&lt;&gt;"000",Peinture1[[#This Row],[INDEX]]&lt;&gt;""),IF(Peinture1[[#This Row],[PRESTA]]="F","1","1"),"")</calculatedColumnFormula>
    </tableColumn>
  </tableColumns>
  <tableStyleInfo name="MB Conception" showFirstColumn="0" showLastColumn="0" showRowStripes="1" showColumnStripes="0"/>
</table>
</file>

<file path=xl/tables/table13.xml><?xml version="1.0" encoding="utf-8"?>
<table xmlns="http://schemas.openxmlformats.org/spreadsheetml/2006/main" id="30" name="Amenagementsexterieurs1" displayName="Amenagementsexterieurs1" ref="A13:J14" headerRowDxfId="65" dataDxfId="64" totalsRowDxfId="63">
  <autoFilter ref="A13:J14"/>
  <tableColumns count="10">
    <tableColumn id="1" name="INDEX" totalsRowLabel="Total" dataDxfId="62"/>
    <tableColumn id="9" name="PRESTA" dataDxfId="61"/>
    <tableColumn id="2" name="N°" dataDxfId="60"/>
    <tableColumn id="3" name="DESIGNATION" dataDxfId="59"/>
    <tableColumn id="10" name="PHOTO" dataDxfId="58"/>
    <tableColumn id="4" name="UN" dataDxfId="57"/>
    <tableColumn id="5" name="QUANTITE" dataDxfId="56"/>
    <tableColumn id="6" name="P.U." dataDxfId="55"/>
    <tableColumn id="7" name="TOTAL H.T." dataDxfId="54">
      <calculatedColumnFormula>IF(AND(RIGHT(Amenagementsexterieurs1[[#This Row],[INDEX]],3)&lt;&gt;"000",Amenagementsexterieurs1[[#This Row],[INDEX]]&lt;&gt;""),Amenagementsexterieurs1[[#This Row],[QUANTITE]]*Amenagementsexterieurs1[[#This Row],[P.U.]],"")</calculatedColumnFormula>
    </tableColumn>
    <tableColumn id="8" name="TVA" totalsRowFunction="count" dataDxfId="53">
      <calculatedColumnFormula>IF(AND(RIGHT(Amenagementsexterieurs1[[#This Row],[INDEX]],3)&lt;&gt;"000",Amenagementsexterieurs1[[#This Row],[INDEX]]&lt;&gt;""),IF(Amenagementsexterieurs1[[#This Row],[PRESTA]]="F","1","1"),"")</calculatedColumnFormula>
    </tableColumn>
  </tableColumns>
  <tableStyleInfo name="MB Conception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6.xml"/><Relationship Id="rId11" Type="http://schemas.openxmlformats.org/officeDocument/2006/relationships/image" Target="../media/image4.emf"/><Relationship Id="rId5" Type="http://schemas.openxmlformats.org/officeDocument/2006/relationships/image" Target="../media/image6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8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12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0.xml"/><Relationship Id="rId11" Type="http://schemas.openxmlformats.org/officeDocument/2006/relationships/image" Target="../media/image4.emf"/><Relationship Id="rId5" Type="http://schemas.openxmlformats.org/officeDocument/2006/relationships/image" Target="../media/image9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11.emf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2.emf"/><Relationship Id="rId12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4.xml"/><Relationship Id="rId11" Type="http://schemas.openxmlformats.org/officeDocument/2006/relationships/image" Target="../media/image14.emf"/><Relationship Id="rId5" Type="http://schemas.openxmlformats.org/officeDocument/2006/relationships/image" Target="../media/image4.emf"/><Relationship Id="rId10" Type="http://schemas.openxmlformats.org/officeDocument/2006/relationships/control" Target="../activeX/activeX16.xml"/><Relationship Id="rId4" Type="http://schemas.openxmlformats.org/officeDocument/2006/relationships/control" Target="../activeX/activeX13.xml"/><Relationship Id="rId9" Type="http://schemas.openxmlformats.org/officeDocument/2006/relationships/image" Target="../media/image13.emf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9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5.emf"/><Relationship Id="rId12" Type="http://schemas.openxmlformats.org/officeDocument/2006/relationships/table" Target="../tables/table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8.xml"/><Relationship Id="rId11" Type="http://schemas.openxmlformats.org/officeDocument/2006/relationships/image" Target="../media/image17.emf"/><Relationship Id="rId5" Type="http://schemas.openxmlformats.org/officeDocument/2006/relationships/image" Target="../media/image4.emf"/><Relationship Id="rId10" Type="http://schemas.openxmlformats.org/officeDocument/2006/relationships/control" Target="../activeX/activeX20.xml"/><Relationship Id="rId4" Type="http://schemas.openxmlformats.org/officeDocument/2006/relationships/control" Target="../activeX/activeX17.xml"/><Relationship Id="rId9" Type="http://schemas.openxmlformats.org/officeDocument/2006/relationships/image" Target="../media/image16.emf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3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8.emf"/><Relationship Id="rId12" Type="http://schemas.openxmlformats.org/officeDocument/2006/relationships/table" Target="../tables/table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22.xml"/><Relationship Id="rId11" Type="http://schemas.openxmlformats.org/officeDocument/2006/relationships/image" Target="../media/image20.emf"/><Relationship Id="rId5" Type="http://schemas.openxmlformats.org/officeDocument/2006/relationships/image" Target="../media/image4.emf"/><Relationship Id="rId10" Type="http://schemas.openxmlformats.org/officeDocument/2006/relationships/control" Target="../activeX/activeX24.xml"/><Relationship Id="rId4" Type="http://schemas.openxmlformats.org/officeDocument/2006/relationships/control" Target="../activeX/activeX21.xml"/><Relationship Id="rId9" Type="http://schemas.openxmlformats.org/officeDocument/2006/relationships/image" Target="../media/image19.emf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7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21.emf"/><Relationship Id="rId12" Type="http://schemas.openxmlformats.org/officeDocument/2006/relationships/table" Target="../tables/table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26.xml"/><Relationship Id="rId11" Type="http://schemas.openxmlformats.org/officeDocument/2006/relationships/image" Target="../media/image23.emf"/><Relationship Id="rId5" Type="http://schemas.openxmlformats.org/officeDocument/2006/relationships/image" Target="../media/image4.emf"/><Relationship Id="rId10" Type="http://schemas.openxmlformats.org/officeDocument/2006/relationships/control" Target="../activeX/activeX28.xml"/><Relationship Id="rId4" Type="http://schemas.openxmlformats.org/officeDocument/2006/relationships/control" Target="../activeX/activeX25.xml"/><Relationship Id="rId9" Type="http://schemas.openxmlformats.org/officeDocument/2006/relationships/image" Target="../media/image22.emf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1.xml"/><Relationship Id="rId3" Type="http://schemas.openxmlformats.org/officeDocument/2006/relationships/vmlDrawing" Target="../drawings/vmlDrawing8.vml"/><Relationship Id="rId7" Type="http://schemas.openxmlformats.org/officeDocument/2006/relationships/image" Target="../media/image25.emf"/><Relationship Id="rId12" Type="http://schemas.openxmlformats.org/officeDocument/2006/relationships/table" Target="../tables/table10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30.xml"/><Relationship Id="rId11" Type="http://schemas.openxmlformats.org/officeDocument/2006/relationships/image" Target="../media/image4.emf"/><Relationship Id="rId5" Type="http://schemas.openxmlformats.org/officeDocument/2006/relationships/image" Target="../media/image24.emf"/><Relationship Id="rId10" Type="http://schemas.openxmlformats.org/officeDocument/2006/relationships/control" Target="../activeX/activeX32.xml"/><Relationship Id="rId4" Type="http://schemas.openxmlformats.org/officeDocument/2006/relationships/control" Target="../activeX/activeX29.xml"/><Relationship Id="rId9" Type="http://schemas.openxmlformats.org/officeDocument/2006/relationships/image" Target="../media/image26.emf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5.xml"/><Relationship Id="rId3" Type="http://schemas.openxmlformats.org/officeDocument/2006/relationships/vmlDrawing" Target="../drawings/vmlDrawing9.vml"/><Relationship Id="rId7" Type="http://schemas.openxmlformats.org/officeDocument/2006/relationships/image" Target="../media/image27.emf"/><Relationship Id="rId12" Type="http://schemas.openxmlformats.org/officeDocument/2006/relationships/table" Target="../tables/table11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34.xml"/><Relationship Id="rId11" Type="http://schemas.openxmlformats.org/officeDocument/2006/relationships/image" Target="../media/image29.emf"/><Relationship Id="rId5" Type="http://schemas.openxmlformats.org/officeDocument/2006/relationships/image" Target="../media/image4.emf"/><Relationship Id="rId10" Type="http://schemas.openxmlformats.org/officeDocument/2006/relationships/control" Target="../activeX/activeX36.xml"/><Relationship Id="rId4" Type="http://schemas.openxmlformats.org/officeDocument/2006/relationships/control" Target="../activeX/activeX33.xml"/><Relationship Id="rId9" Type="http://schemas.openxmlformats.org/officeDocument/2006/relationships/image" Target="../media/image28.emf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9.xml"/><Relationship Id="rId3" Type="http://schemas.openxmlformats.org/officeDocument/2006/relationships/vmlDrawing" Target="../drawings/vmlDrawing10.vml"/><Relationship Id="rId7" Type="http://schemas.openxmlformats.org/officeDocument/2006/relationships/image" Target="../media/image31.emf"/><Relationship Id="rId12" Type="http://schemas.openxmlformats.org/officeDocument/2006/relationships/table" Target="../tables/table12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6" Type="http://schemas.openxmlformats.org/officeDocument/2006/relationships/control" Target="../activeX/activeX38.xml"/><Relationship Id="rId11" Type="http://schemas.openxmlformats.org/officeDocument/2006/relationships/image" Target="../media/image4.emf"/><Relationship Id="rId5" Type="http://schemas.openxmlformats.org/officeDocument/2006/relationships/image" Target="../media/image30.emf"/><Relationship Id="rId10" Type="http://schemas.openxmlformats.org/officeDocument/2006/relationships/control" Target="../activeX/activeX40.xml"/><Relationship Id="rId4" Type="http://schemas.openxmlformats.org/officeDocument/2006/relationships/control" Target="../activeX/activeX37.xml"/><Relationship Id="rId9" Type="http://schemas.openxmlformats.org/officeDocument/2006/relationships/image" Target="../media/image32.emf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3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34.emf"/><Relationship Id="rId12" Type="http://schemas.openxmlformats.org/officeDocument/2006/relationships/table" Target="../tables/table13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6" Type="http://schemas.openxmlformats.org/officeDocument/2006/relationships/control" Target="../activeX/activeX42.xml"/><Relationship Id="rId11" Type="http://schemas.openxmlformats.org/officeDocument/2006/relationships/image" Target="../media/image4.emf"/><Relationship Id="rId5" Type="http://schemas.openxmlformats.org/officeDocument/2006/relationships/image" Target="../media/image33.emf"/><Relationship Id="rId10" Type="http://schemas.openxmlformats.org/officeDocument/2006/relationships/control" Target="../activeX/activeX44.xml"/><Relationship Id="rId4" Type="http://schemas.openxmlformats.org/officeDocument/2006/relationships/control" Target="../activeX/activeX41.xml"/><Relationship Id="rId9" Type="http://schemas.openxmlformats.org/officeDocument/2006/relationships/image" Target="../media/image3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53"/>
  <sheetViews>
    <sheetView zoomScale="80" zoomScaleNormal="80" workbookViewId="0"/>
  </sheetViews>
  <sheetFormatPr baseColWidth="10" defaultRowHeight="15" x14ac:dyDescent="0.3"/>
  <cols>
    <col min="1" max="1" width="24.5703125" style="46" bestFit="1" customWidth="1"/>
    <col min="2" max="5" width="15.7109375" style="44" customWidth="1"/>
    <col min="6" max="6" width="11.42578125" style="44"/>
    <col min="7" max="7" width="27.28515625" style="44" bestFit="1" customWidth="1"/>
    <col min="8" max="8" width="18.5703125" style="44" bestFit="1" customWidth="1"/>
    <col min="9" max="9" width="18.5703125" style="44" customWidth="1"/>
    <col min="10" max="10" width="20.140625" style="44" bestFit="1" customWidth="1"/>
    <col min="11" max="11" width="27.28515625" style="44" customWidth="1"/>
    <col min="12" max="12" width="21.5703125" style="44" bestFit="1" customWidth="1"/>
    <col min="13" max="13" width="24.140625" style="44" bestFit="1" customWidth="1"/>
    <col min="14" max="14" width="39" style="44" bestFit="1" customWidth="1"/>
    <col min="15" max="16384" width="11.42578125" style="44"/>
  </cols>
  <sheetData>
    <row r="1" spans="2:14" s="46" customFormat="1" x14ac:dyDescent="0.3"/>
    <row r="2" spans="2:14" x14ac:dyDescent="0.3">
      <c r="B2" s="45"/>
      <c r="C2" s="45"/>
      <c r="D2" s="45"/>
      <c r="E2" s="45"/>
    </row>
    <row r="3" spans="2:14" x14ac:dyDescent="0.3">
      <c r="B3" s="45"/>
      <c r="C3" s="45"/>
      <c r="D3" s="45"/>
      <c r="E3" s="45"/>
    </row>
    <row r="4" spans="2:14" x14ac:dyDescent="0.3">
      <c r="B4" s="45"/>
      <c r="C4" s="45"/>
      <c r="D4" s="45"/>
      <c r="E4" s="45"/>
      <c r="G4" s="62" t="s">
        <v>35</v>
      </c>
      <c r="H4" s="62" t="s">
        <v>43</v>
      </c>
      <c r="I4" s="62" t="s">
        <v>44</v>
      </c>
      <c r="J4" s="62" t="s">
        <v>409</v>
      </c>
      <c r="K4" s="62"/>
      <c r="L4" s="63" t="s">
        <v>302</v>
      </c>
      <c r="M4" s="62" t="s">
        <v>254</v>
      </c>
      <c r="N4" s="62" t="s">
        <v>255</v>
      </c>
    </row>
    <row r="5" spans="2:14" x14ac:dyDescent="0.3">
      <c r="B5" s="45"/>
      <c r="C5" s="45"/>
      <c r="D5" s="45"/>
      <c r="E5" s="45"/>
      <c r="G5" s="44" t="s">
        <v>269</v>
      </c>
      <c r="H5" s="44">
        <v>10</v>
      </c>
      <c r="I5" s="44" t="e">
        <f>IF(J5=0,#N/A,J5*100/$J$13)</f>
        <v>#N/A</v>
      </c>
      <c r="J5" s="44">
        <f>SUMIF(Menuiseries[Orientation],PROGRAMME!G5,Menuiseries[Surface])</f>
        <v>0</v>
      </c>
      <c r="L5" s="64" t="s">
        <v>303</v>
      </c>
      <c r="M5" s="44" t="s">
        <v>325</v>
      </c>
      <c r="N5" s="73" t="s">
        <v>38</v>
      </c>
    </row>
    <row r="6" spans="2:14" x14ac:dyDescent="0.3">
      <c r="B6" s="45"/>
      <c r="C6" s="45"/>
      <c r="D6" s="45"/>
      <c r="E6" s="45"/>
      <c r="G6" s="44" t="s">
        <v>270</v>
      </c>
      <c r="H6" s="44" t="e">
        <v>#N/A</v>
      </c>
      <c r="I6" s="44" t="e">
        <f t="shared" ref="I6:I12" si="0">IF(J6=0,#N/A,J6*100/$J$13)</f>
        <v>#N/A</v>
      </c>
      <c r="J6" s="44">
        <f>SUMIF(Menuiseries[Orientation],PROGRAMME!G6,Menuiseries[Surface])</f>
        <v>0</v>
      </c>
      <c r="L6" s="64" t="s">
        <v>304</v>
      </c>
      <c r="M6" s="44" t="s">
        <v>326</v>
      </c>
      <c r="N6" s="44" t="s">
        <v>345</v>
      </c>
    </row>
    <row r="7" spans="2:14" x14ac:dyDescent="0.3">
      <c r="B7" s="45"/>
      <c r="C7" s="45"/>
      <c r="D7" s="45"/>
      <c r="E7" s="45"/>
      <c r="G7" s="44" t="s">
        <v>271</v>
      </c>
      <c r="H7" s="44">
        <v>15</v>
      </c>
      <c r="I7" s="44" t="e">
        <f t="shared" si="0"/>
        <v>#N/A</v>
      </c>
      <c r="J7" s="44">
        <f>SUMIF(Menuiseries[Orientation],PROGRAMME!G7,Menuiseries[Surface])</f>
        <v>0</v>
      </c>
      <c r="L7" s="64"/>
      <c r="M7" s="44" t="s">
        <v>327</v>
      </c>
      <c r="N7" s="44" t="s">
        <v>367</v>
      </c>
    </row>
    <row r="8" spans="2:14" x14ac:dyDescent="0.3">
      <c r="B8" s="45"/>
      <c r="C8" s="45"/>
      <c r="D8" s="45"/>
      <c r="E8" s="45"/>
      <c r="G8" s="44" t="s">
        <v>272</v>
      </c>
      <c r="H8" s="44" t="e">
        <v>#N/A</v>
      </c>
      <c r="I8" s="44" t="e">
        <f t="shared" si="0"/>
        <v>#N/A</v>
      </c>
      <c r="J8" s="44">
        <f>SUMIF(Menuiseries[Orientation],PROGRAMME!G8,Menuiseries[Surface])</f>
        <v>0</v>
      </c>
      <c r="L8" s="63" t="s">
        <v>250</v>
      </c>
      <c r="M8" s="44" t="s">
        <v>328</v>
      </c>
      <c r="N8" s="44" t="s">
        <v>346</v>
      </c>
    </row>
    <row r="9" spans="2:14" x14ac:dyDescent="0.3">
      <c r="B9" s="45"/>
      <c r="C9" s="45"/>
      <c r="D9" s="45"/>
      <c r="E9" s="45"/>
      <c r="G9" s="44" t="s">
        <v>273</v>
      </c>
      <c r="H9" s="44">
        <v>60</v>
      </c>
      <c r="I9" s="44" t="e">
        <f t="shared" si="0"/>
        <v>#N/A</v>
      </c>
      <c r="J9" s="44">
        <f>SUMIF(Menuiseries[Orientation],PROGRAMME!G9,Menuiseries[Surface])</f>
        <v>0</v>
      </c>
      <c r="L9" s="64" t="s">
        <v>368</v>
      </c>
      <c r="M9" s="44" t="s">
        <v>329</v>
      </c>
      <c r="N9" s="44" t="s">
        <v>39</v>
      </c>
    </row>
    <row r="10" spans="2:14" x14ac:dyDescent="0.3">
      <c r="B10" s="45"/>
      <c r="C10" s="45"/>
      <c r="D10" s="45"/>
      <c r="E10" s="45"/>
      <c r="G10" s="44" t="s">
        <v>274</v>
      </c>
      <c r="H10" s="44" t="e">
        <v>#N/A</v>
      </c>
      <c r="I10" s="44" t="e">
        <f t="shared" si="0"/>
        <v>#N/A</v>
      </c>
      <c r="J10" s="44">
        <f>SUMIF(Menuiseries[Orientation],PROGRAMME!G10,Menuiseries[Surface])</f>
        <v>0</v>
      </c>
      <c r="L10" s="64" t="s">
        <v>369</v>
      </c>
      <c r="M10" s="44" t="s">
        <v>330</v>
      </c>
      <c r="N10" s="44" t="s">
        <v>347</v>
      </c>
    </row>
    <row r="11" spans="2:14" x14ac:dyDescent="0.3">
      <c r="B11" s="45"/>
      <c r="C11" s="45"/>
      <c r="D11" s="45"/>
      <c r="E11" s="45"/>
      <c r="G11" s="44" t="s">
        <v>275</v>
      </c>
      <c r="H11" s="44">
        <v>15</v>
      </c>
      <c r="I11" s="44" t="e">
        <f t="shared" si="0"/>
        <v>#N/A</v>
      </c>
      <c r="J11" s="44">
        <f>SUMIF(Menuiseries[Orientation],PROGRAMME!G11,Menuiseries[Surface])</f>
        <v>0</v>
      </c>
      <c r="L11" s="64" t="s">
        <v>370</v>
      </c>
      <c r="N11" s="44" t="s">
        <v>348</v>
      </c>
    </row>
    <row r="12" spans="2:14" x14ac:dyDescent="0.3">
      <c r="B12" s="45"/>
      <c r="C12" s="45"/>
      <c r="D12" s="45"/>
      <c r="E12" s="45"/>
      <c r="G12" s="44" t="s">
        <v>276</v>
      </c>
      <c r="H12" s="44" t="e">
        <v>#N/A</v>
      </c>
      <c r="I12" s="44" t="e">
        <f t="shared" si="0"/>
        <v>#N/A</v>
      </c>
      <c r="J12" s="44">
        <f>SUMIF(Menuiseries[Orientation],PROGRAMME!G12,Menuiseries[Surface])</f>
        <v>0</v>
      </c>
      <c r="L12" s="64" t="s">
        <v>371</v>
      </c>
      <c r="M12" s="62" t="s">
        <v>331</v>
      </c>
    </row>
    <row r="13" spans="2:14" x14ac:dyDescent="0.3">
      <c r="B13" s="45"/>
      <c r="C13" s="45"/>
      <c r="D13" s="45"/>
      <c r="E13" s="45"/>
      <c r="G13" s="44" t="s">
        <v>147</v>
      </c>
      <c r="J13" s="44">
        <f>SUM(J5:J12)</f>
        <v>0</v>
      </c>
      <c r="L13" s="64" t="s">
        <v>372</v>
      </c>
      <c r="M13" s="44" t="s">
        <v>304</v>
      </c>
      <c r="N13" s="62" t="s">
        <v>256</v>
      </c>
    </row>
    <row r="14" spans="2:14" x14ac:dyDescent="0.3">
      <c r="B14" s="45"/>
      <c r="C14" s="45"/>
      <c r="D14" s="45"/>
      <c r="E14" s="45"/>
      <c r="K14" s="62" t="s">
        <v>384</v>
      </c>
      <c r="L14" s="64" t="s">
        <v>373</v>
      </c>
      <c r="M14" s="44" t="s">
        <v>332</v>
      </c>
      <c r="N14" s="44" t="s">
        <v>349</v>
      </c>
    </row>
    <row r="15" spans="2:14" x14ac:dyDescent="0.3">
      <c r="B15" s="45"/>
      <c r="C15" s="45"/>
      <c r="D15" s="45"/>
      <c r="E15" s="45"/>
      <c r="G15" s="62" t="s">
        <v>249</v>
      </c>
      <c r="H15" s="62" t="s">
        <v>383</v>
      </c>
      <c r="J15" s="62"/>
      <c r="K15" s="67" t="s">
        <v>385</v>
      </c>
      <c r="L15" s="64" t="s">
        <v>374</v>
      </c>
      <c r="M15" s="44" t="s">
        <v>333</v>
      </c>
      <c r="N15" s="44" t="s">
        <v>350</v>
      </c>
    </row>
    <row r="16" spans="2:14" x14ac:dyDescent="0.3">
      <c r="B16" s="45"/>
      <c r="C16" s="45"/>
      <c r="D16" s="45"/>
      <c r="E16" s="45"/>
      <c r="G16" s="67" t="s">
        <v>277</v>
      </c>
      <c r="H16" s="67" t="s">
        <v>377</v>
      </c>
      <c r="J16" s="67"/>
      <c r="K16" s="67" t="s">
        <v>386</v>
      </c>
      <c r="L16" s="64" t="s">
        <v>375</v>
      </c>
      <c r="M16" s="44" t="s">
        <v>334</v>
      </c>
      <c r="N16" s="44" t="s">
        <v>351</v>
      </c>
    </row>
    <row r="17" spans="2:14" x14ac:dyDescent="0.3">
      <c r="B17" s="45"/>
      <c r="C17" s="45"/>
      <c r="D17" s="45"/>
      <c r="E17" s="45"/>
      <c r="G17" s="67" t="s">
        <v>278</v>
      </c>
      <c r="H17" s="67" t="s">
        <v>377</v>
      </c>
      <c r="J17" s="67"/>
      <c r="K17" s="67" t="s">
        <v>385</v>
      </c>
      <c r="M17" s="44" t="s">
        <v>335</v>
      </c>
      <c r="N17" s="44" t="s">
        <v>352</v>
      </c>
    </row>
    <row r="18" spans="2:14" x14ac:dyDescent="0.3">
      <c r="B18" s="45"/>
      <c r="C18" s="45"/>
      <c r="D18" s="45"/>
      <c r="E18" s="45"/>
      <c r="G18" s="67" t="s">
        <v>279</v>
      </c>
      <c r="H18" s="67" t="s">
        <v>377</v>
      </c>
      <c r="J18" s="67"/>
      <c r="K18" s="67" t="s">
        <v>386</v>
      </c>
      <c r="L18" s="62" t="s">
        <v>251</v>
      </c>
      <c r="M18" s="44" t="s">
        <v>336</v>
      </c>
      <c r="N18" s="44" t="s">
        <v>391</v>
      </c>
    </row>
    <row r="19" spans="2:14" x14ac:dyDescent="0.3">
      <c r="B19" s="45"/>
      <c r="C19" s="45"/>
      <c r="D19" s="45"/>
      <c r="E19" s="45"/>
      <c r="G19" s="67" t="s">
        <v>280</v>
      </c>
      <c r="H19" s="67" t="s">
        <v>377</v>
      </c>
      <c r="J19" s="67"/>
      <c r="K19" s="67" t="s">
        <v>385</v>
      </c>
      <c r="L19" s="44" t="s">
        <v>305</v>
      </c>
      <c r="M19" s="44" t="s">
        <v>337</v>
      </c>
    </row>
    <row r="20" spans="2:14" x14ac:dyDescent="0.3">
      <c r="B20" s="45"/>
      <c r="C20" s="45"/>
      <c r="D20" s="45"/>
      <c r="E20" s="45"/>
      <c r="G20" s="67" t="s">
        <v>281</v>
      </c>
      <c r="H20" s="67" t="s">
        <v>378</v>
      </c>
      <c r="J20" s="67"/>
      <c r="K20" s="67" t="s">
        <v>386</v>
      </c>
      <c r="L20" s="44" t="s">
        <v>306</v>
      </c>
      <c r="M20" s="44" t="s">
        <v>338</v>
      </c>
      <c r="N20" s="62" t="s">
        <v>257</v>
      </c>
    </row>
    <row r="21" spans="2:14" x14ac:dyDescent="0.3">
      <c r="B21" s="45"/>
      <c r="C21" s="45"/>
      <c r="D21" s="45"/>
      <c r="E21" s="45"/>
      <c r="G21" s="67" t="s">
        <v>282</v>
      </c>
      <c r="H21" s="67" t="s">
        <v>378</v>
      </c>
      <c r="J21" s="67"/>
      <c r="K21" s="67" t="s">
        <v>386</v>
      </c>
      <c r="L21" s="44" t="s">
        <v>307</v>
      </c>
      <c r="M21" s="44" t="s">
        <v>339</v>
      </c>
      <c r="N21" s="44" t="s">
        <v>353</v>
      </c>
    </row>
    <row r="22" spans="2:14" x14ac:dyDescent="0.3">
      <c r="B22" s="45"/>
      <c r="C22" s="45"/>
      <c r="D22" s="45"/>
      <c r="E22" s="45"/>
      <c r="G22" s="67" t="s">
        <v>283</v>
      </c>
      <c r="H22" s="67" t="s">
        <v>379</v>
      </c>
      <c r="J22" s="67"/>
      <c r="K22" s="67" t="s">
        <v>387</v>
      </c>
      <c r="L22" s="44" t="s">
        <v>308</v>
      </c>
      <c r="M22" s="44" t="s">
        <v>340</v>
      </c>
      <c r="N22" s="44" t="s">
        <v>354</v>
      </c>
    </row>
    <row r="23" spans="2:14" x14ac:dyDescent="0.3">
      <c r="B23" s="45"/>
      <c r="C23" s="45"/>
      <c r="D23" s="45"/>
      <c r="E23" s="45"/>
      <c r="G23" s="67" t="s">
        <v>284</v>
      </c>
      <c r="H23" s="67" t="s">
        <v>379</v>
      </c>
      <c r="J23" s="67"/>
      <c r="K23" s="67" t="s">
        <v>388</v>
      </c>
      <c r="L23" s="44" t="s">
        <v>309</v>
      </c>
      <c r="M23" s="44" t="s">
        <v>341</v>
      </c>
      <c r="N23" s="44" t="s">
        <v>355</v>
      </c>
    </row>
    <row r="24" spans="2:14" x14ac:dyDescent="0.3">
      <c r="B24" s="45"/>
      <c r="C24" s="45"/>
      <c r="D24" s="45"/>
      <c r="E24" s="45"/>
      <c r="G24" s="67" t="s">
        <v>285</v>
      </c>
      <c r="H24" s="67" t="s">
        <v>379</v>
      </c>
      <c r="I24" s="67"/>
      <c r="J24" s="67"/>
      <c r="K24" s="67" t="s">
        <v>385</v>
      </c>
      <c r="L24" s="44" t="s">
        <v>314</v>
      </c>
      <c r="M24" s="44" t="s">
        <v>342</v>
      </c>
      <c r="N24" s="44" t="s">
        <v>356</v>
      </c>
    </row>
    <row r="25" spans="2:14" x14ac:dyDescent="0.3">
      <c r="B25" s="45"/>
      <c r="C25" s="45"/>
      <c r="D25" s="45"/>
      <c r="E25" s="45"/>
      <c r="G25" s="67" t="s">
        <v>288</v>
      </c>
      <c r="H25" s="67" t="s">
        <v>379</v>
      </c>
      <c r="I25" s="67"/>
      <c r="J25" s="67"/>
      <c r="K25" s="67" t="s">
        <v>386</v>
      </c>
      <c r="L25" s="44" t="s">
        <v>310</v>
      </c>
      <c r="M25" s="44" t="s">
        <v>343</v>
      </c>
      <c r="N25" s="44" t="s">
        <v>357</v>
      </c>
    </row>
    <row r="26" spans="2:14" x14ac:dyDescent="0.3">
      <c r="B26" s="45"/>
      <c r="C26" s="45"/>
      <c r="D26" s="45"/>
      <c r="E26" s="45"/>
      <c r="G26" s="67" t="s">
        <v>289</v>
      </c>
      <c r="H26" s="67" t="s">
        <v>379</v>
      </c>
      <c r="I26" s="67"/>
      <c r="J26" s="67"/>
      <c r="K26" s="67" t="s">
        <v>386</v>
      </c>
      <c r="L26" s="44" t="s">
        <v>311</v>
      </c>
    </row>
    <row r="27" spans="2:14" x14ac:dyDescent="0.3">
      <c r="B27" s="45"/>
      <c r="C27" s="45"/>
      <c r="D27" s="45"/>
      <c r="E27" s="45"/>
      <c r="G27" s="67" t="s">
        <v>290</v>
      </c>
      <c r="H27" s="67" t="s">
        <v>379</v>
      </c>
      <c r="I27" s="67"/>
      <c r="J27" s="67"/>
      <c r="K27" s="67" t="s">
        <v>387</v>
      </c>
      <c r="L27" s="44" t="s">
        <v>312</v>
      </c>
      <c r="M27" s="62" t="s">
        <v>344</v>
      </c>
      <c r="N27" s="62" t="s">
        <v>258</v>
      </c>
    </row>
    <row r="28" spans="2:14" x14ac:dyDescent="0.3">
      <c r="B28" s="45"/>
      <c r="C28" s="45"/>
      <c r="D28" s="45"/>
      <c r="E28" s="45"/>
      <c r="G28" s="67" t="s">
        <v>291</v>
      </c>
      <c r="H28" s="67" t="s">
        <v>379</v>
      </c>
      <c r="I28" s="67"/>
      <c r="J28" s="67"/>
      <c r="K28" s="67" t="s">
        <v>389</v>
      </c>
      <c r="L28" s="44" t="s">
        <v>313</v>
      </c>
      <c r="M28" s="44" t="s">
        <v>11</v>
      </c>
      <c r="N28" s="44" t="s">
        <v>358</v>
      </c>
    </row>
    <row r="29" spans="2:14" x14ac:dyDescent="0.3">
      <c r="B29" s="45"/>
      <c r="C29" s="45"/>
      <c r="D29" s="45"/>
      <c r="E29" s="45"/>
      <c r="G29" s="67" t="s">
        <v>286</v>
      </c>
      <c r="H29" s="67" t="s">
        <v>380</v>
      </c>
      <c r="I29" s="67"/>
      <c r="J29" s="67"/>
      <c r="K29" s="67" t="s">
        <v>390</v>
      </c>
      <c r="L29" s="44" t="s">
        <v>315</v>
      </c>
      <c r="M29" s="44" t="s">
        <v>12</v>
      </c>
      <c r="N29" s="44" t="s">
        <v>359</v>
      </c>
    </row>
    <row r="30" spans="2:14" x14ac:dyDescent="0.3">
      <c r="B30" s="45"/>
      <c r="C30" s="45"/>
      <c r="D30" s="45"/>
      <c r="E30" s="45"/>
      <c r="G30" s="67" t="s">
        <v>287</v>
      </c>
      <c r="H30" s="67" t="s">
        <v>381</v>
      </c>
      <c r="I30" s="67"/>
      <c r="J30" s="67"/>
      <c r="K30" s="67" t="s">
        <v>385</v>
      </c>
      <c r="L30" s="44" t="s">
        <v>316</v>
      </c>
      <c r="M30" s="44" t="s">
        <v>13</v>
      </c>
      <c r="N30" s="44" t="s">
        <v>360</v>
      </c>
    </row>
    <row r="31" spans="2:14" x14ac:dyDescent="0.3">
      <c r="B31" s="45"/>
      <c r="C31" s="45"/>
      <c r="D31" s="45"/>
      <c r="E31" s="45"/>
      <c r="G31" s="67" t="s">
        <v>292</v>
      </c>
      <c r="H31" s="67" t="s">
        <v>377</v>
      </c>
      <c r="I31" s="67"/>
      <c r="J31" s="67"/>
      <c r="K31" s="67" t="s">
        <v>386</v>
      </c>
      <c r="L31" s="44" t="s">
        <v>317</v>
      </c>
      <c r="M31" s="44" t="s">
        <v>14</v>
      </c>
      <c r="N31" s="44" t="s">
        <v>362</v>
      </c>
    </row>
    <row r="32" spans="2:14" x14ac:dyDescent="0.3">
      <c r="B32" s="45"/>
      <c r="C32" s="45"/>
      <c r="D32" s="45"/>
      <c r="E32" s="45"/>
      <c r="G32" s="67" t="s">
        <v>293</v>
      </c>
      <c r="H32" s="67" t="s">
        <v>377</v>
      </c>
      <c r="I32" s="67"/>
      <c r="J32" s="67"/>
      <c r="K32" s="67" t="s">
        <v>385</v>
      </c>
      <c r="L32" s="44" t="s">
        <v>318</v>
      </c>
      <c r="M32" s="44" t="s">
        <v>15</v>
      </c>
      <c r="N32" s="44" t="s">
        <v>361</v>
      </c>
    </row>
    <row r="33" spans="1:14" x14ac:dyDescent="0.3">
      <c r="B33" s="45"/>
      <c r="C33" s="45"/>
      <c r="D33" s="45"/>
      <c r="E33" s="45"/>
      <c r="G33" s="67" t="s">
        <v>294</v>
      </c>
      <c r="H33" s="67" t="s">
        <v>377</v>
      </c>
      <c r="I33" s="67"/>
      <c r="J33" s="67"/>
      <c r="K33" s="67" t="s">
        <v>386</v>
      </c>
      <c r="L33" s="44" t="s">
        <v>319</v>
      </c>
      <c r="M33" s="44" t="s">
        <v>16</v>
      </c>
      <c r="N33" s="44" t="s">
        <v>407</v>
      </c>
    </row>
    <row r="34" spans="1:14" x14ac:dyDescent="0.3">
      <c r="B34" s="45"/>
      <c r="C34" s="45"/>
      <c r="D34" s="45"/>
      <c r="E34" s="45"/>
      <c r="G34" s="67" t="s">
        <v>295</v>
      </c>
      <c r="H34" s="67" t="s">
        <v>377</v>
      </c>
      <c r="I34" s="67"/>
      <c r="J34" s="67"/>
      <c r="K34" s="67" t="s">
        <v>385</v>
      </c>
      <c r="L34" s="44" t="s">
        <v>320</v>
      </c>
      <c r="M34" s="44" t="s">
        <v>17</v>
      </c>
    </row>
    <row r="35" spans="1:14" x14ac:dyDescent="0.3">
      <c r="B35" s="45"/>
      <c r="C35" s="45"/>
      <c r="D35" s="45"/>
      <c r="E35" s="45"/>
      <c r="G35" s="67" t="s">
        <v>296</v>
      </c>
      <c r="H35" s="67" t="s">
        <v>377</v>
      </c>
      <c r="I35" s="67"/>
      <c r="J35" s="67"/>
      <c r="K35" s="67" t="s">
        <v>386</v>
      </c>
      <c r="L35" s="44" t="s">
        <v>321</v>
      </c>
      <c r="M35" s="44" t="s">
        <v>18</v>
      </c>
      <c r="N35" s="62" t="s">
        <v>259</v>
      </c>
    </row>
    <row r="36" spans="1:14" x14ac:dyDescent="0.3">
      <c r="B36" s="45"/>
      <c r="C36" s="45"/>
      <c r="D36" s="45"/>
      <c r="E36" s="45"/>
      <c r="G36" s="67" t="s">
        <v>297</v>
      </c>
      <c r="H36" s="67" t="s">
        <v>377</v>
      </c>
      <c r="I36" s="67"/>
      <c r="J36" s="67"/>
      <c r="K36" s="67" t="s">
        <v>385</v>
      </c>
      <c r="L36" s="44" t="s">
        <v>322</v>
      </c>
      <c r="M36" s="44" t="s">
        <v>10</v>
      </c>
      <c r="N36" s="44" t="s">
        <v>363</v>
      </c>
    </row>
    <row r="37" spans="1:14" s="46" customFormat="1" x14ac:dyDescent="0.3">
      <c r="A37" s="47"/>
      <c r="B37" s="48"/>
      <c r="C37" s="48"/>
      <c r="D37" s="48"/>
      <c r="E37" s="48"/>
      <c r="G37" s="67" t="s">
        <v>298</v>
      </c>
      <c r="H37" s="67" t="s">
        <v>377</v>
      </c>
      <c r="I37" s="67"/>
      <c r="J37" s="67"/>
      <c r="K37" s="67" t="s">
        <v>386</v>
      </c>
      <c r="L37" s="44" t="s">
        <v>323</v>
      </c>
      <c r="M37" s="44" t="s">
        <v>19</v>
      </c>
      <c r="N37" s="44" t="s">
        <v>364</v>
      </c>
    </row>
    <row r="38" spans="1:14" x14ac:dyDescent="0.3">
      <c r="G38" s="67" t="s">
        <v>299</v>
      </c>
      <c r="H38" s="67" t="s">
        <v>377</v>
      </c>
      <c r="I38" s="67"/>
      <c r="J38" s="67"/>
      <c r="K38" s="67" t="s">
        <v>385</v>
      </c>
      <c r="L38" s="44" t="s">
        <v>324</v>
      </c>
      <c r="M38" s="44" t="s">
        <v>20</v>
      </c>
    </row>
    <row r="39" spans="1:14" x14ac:dyDescent="0.3">
      <c r="G39" s="67" t="s">
        <v>300</v>
      </c>
      <c r="H39" s="67" t="s">
        <v>382</v>
      </c>
      <c r="I39" s="67"/>
      <c r="J39" s="67"/>
      <c r="K39" s="67" t="s">
        <v>386</v>
      </c>
      <c r="L39" s="46"/>
      <c r="M39" s="44" t="s">
        <v>21</v>
      </c>
      <c r="N39" s="62" t="s">
        <v>376</v>
      </c>
    </row>
    <row r="40" spans="1:14" x14ac:dyDescent="0.3">
      <c r="G40" s="67" t="s">
        <v>301</v>
      </c>
      <c r="H40" s="67" t="s">
        <v>382</v>
      </c>
      <c r="I40" s="67"/>
      <c r="J40" s="67"/>
      <c r="M40" s="44" t="s">
        <v>22</v>
      </c>
      <c r="N40" s="66" t="s">
        <v>38</v>
      </c>
    </row>
    <row r="41" spans="1:14" x14ac:dyDescent="0.3">
      <c r="M41" s="44" t="s">
        <v>23</v>
      </c>
      <c r="N41" s="44" t="s">
        <v>365</v>
      </c>
    </row>
    <row r="42" spans="1:14" x14ac:dyDescent="0.3">
      <c r="G42" s="62"/>
      <c r="M42" s="44" t="s">
        <v>24</v>
      </c>
      <c r="N42" s="44" t="s">
        <v>366</v>
      </c>
    </row>
    <row r="43" spans="1:14" x14ac:dyDescent="0.3">
      <c r="M43" s="44" t="s">
        <v>25</v>
      </c>
    </row>
    <row r="44" spans="1:14" x14ac:dyDescent="0.3">
      <c r="M44" s="44" t="s">
        <v>26</v>
      </c>
    </row>
    <row r="45" spans="1:14" x14ac:dyDescent="0.3">
      <c r="M45" s="44" t="s">
        <v>27</v>
      </c>
    </row>
    <row r="46" spans="1:14" x14ac:dyDescent="0.3">
      <c r="M46" s="44" t="s">
        <v>28</v>
      </c>
    </row>
    <row r="48" spans="1:14" x14ac:dyDescent="0.3">
      <c r="K48" s="65"/>
    </row>
    <row r="49" spans="7:10" x14ac:dyDescent="0.3">
      <c r="H49" s="65"/>
      <c r="I49" s="65"/>
      <c r="J49" s="65"/>
    </row>
    <row r="53" spans="7:10" x14ac:dyDescent="0.3">
      <c r="G53" s="65"/>
    </row>
  </sheetData>
  <sortState ref="G43:G55">
    <sortCondition ref="G4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C31"/>
  <sheetViews>
    <sheetView workbookViewId="0"/>
  </sheetViews>
  <sheetFormatPr baseColWidth="10" defaultRowHeight="13.5" x14ac:dyDescent="0.25"/>
  <cols>
    <col min="1" max="1" width="9.85546875" style="54" bestFit="1" customWidth="1"/>
    <col min="2" max="2" width="11.85546875" style="54" bestFit="1" customWidth="1"/>
    <col min="3" max="3" width="58.28515625" style="54" bestFit="1" customWidth="1"/>
    <col min="4" max="16384" width="11.42578125" style="44"/>
  </cols>
  <sheetData>
    <row r="1" spans="1:3" s="46" customFormat="1" ht="15" x14ac:dyDescent="0.3">
      <c r="A1" s="53" t="s">
        <v>212</v>
      </c>
      <c r="B1" s="53" t="s">
        <v>213</v>
      </c>
      <c r="C1" s="53" t="s">
        <v>214</v>
      </c>
    </row>
    <row r="2" spans="1:3" s="46" customFormat="1" ht="15" x14ac:dyDescent="0.3">
      <c r="A2" s="54" t="s">
        <v>405</v>
      </c>
      <c r="B2" s="55">
        <v>42745</v>
      </c>
      <c r="C2" s="54" t="s">
        <v>406</v>
      </c>
    </row>
    <row r="3" spans="1:3" s="46" customFormat="1" ht="15" x14ac:dyDescent="0.3">
      <c r="A3" s="54" t="s">
        <v>398</v>
      </c>
      <c r="B3" s="55">
        <v>42739</v>
      </c>
      <c r="C3" s="54" t="s">
        <v>399</v>
      </c>
    </row>
    <row r="4" spans="1:3" s="46" customFormat="1" ht="15" x14ac:dyDescent="0.3">
      <c r="A4" s="54"/>
      <c r="B4" s="55"/>
      <c r="C4" s="54" t="s">
        <v>400</v>
      </c>
    </row>
    <row r="5" spans="1:3" s="46" customFormat="1" ht="15" x14ac:dyDescent="0.3">
      <c r="A5" s="54"/>
      <c r="B5" s="55"/>
      <c r="C5" s="54" t="s">
        <v>401</v>
      </c>
    </row>
    <row r="6" spans="1:3" s="46" customFormat="1" ht="15" x14ac:dyDescent="0.3">
      <c r="A6" s="54"/>
      <c r="B6" s="55"/>
      <c r="C6" s="54" t="s">
        <v>402</v>
      </c>
    </row>
    <row r="7" spans="1:3" s="46" customFormat="1" ht="15" x14ac:dyDescent="0.3">
      <c r="A7" s="54"/>
      <c r="B7" s="55"/>
      <c r="C7" s="54" t="s">
        <v>403</v>
      </c>
    </row>
    <row r="8" spans="1:3" s="46" customFormat="1" ht="15" x14ac:dyDescent="0.3">
      <c r="A8" s="54"/>
      <c r="B8" s="55"/>
      <c r="C8" s="54" t="s">
        <v>404</v>
      </c>
    </row>
    <row r="9" spans="1:3" s="46" customFormat="1" ht="15" x14ac:dyDescent="0.3">
      <c r="A9" s="54" t="s">
        <v>243</v>
      </c>
      <c r="B9" s="55">
        <v>42537</v>
      </c>
      <c r="C9" s="54" t="s">
        <v>244</v>
      </c>
    </row>
    <row r="10" spans="1:3" s="46" customFormat="1" ht="15" x14ac:dyDescent="0.3">
      <c r="A10" s="54" t="s">
        <v>239</v>
      </c>
      <c r="B10" s="55">
        <v>42536</v>
      </c>
      <c r="C10" s="54" t="s">
        <v>240</v>
      </c>
    </row>
    <row r="11" spans="1:3" s="46" customFormat="1" ht="15" x14ac:dyDescent="0.3">
      <c r="A11" s="54"/>
      <c r="B11" s="55"/>
      <c r="C11" s="54" t="s">
        <v>241</v>
      </c>
    </row>
    <row r="12" spans="1:3" s="46" customFormat="1" ht="15" x14ac:dyDescent="0.3">
      <c r="A12" s="54"/>
      <c r="B12" s="55"/>
      <c r="C12" s="54" t="s">
        <v>242</v>
      </c>
    </row>
    <row r="13" spans="1:3" s="46" customFormat="1" ht="15" x14ac:dyDescent="0.3">
      <c r="A13" s="54" t="s">
        <v>237</v>
      </c>
      <c r="B13" s="55">
        <v>42430</v>
      </c>
      <c r="C13" s="54" t="s">
        <v>238</v>
      </c>
    </row>
    <row r="14" spans="1:3" s="46" customFormat="1" ht="15" x14ac:dyDescent="0.3">
      <c r="A14" s="54" t="s">
        <v>236</v>
      </c>
      <c r="B14" s="55">
        <v>42425</v>
      </c>
      <c r="C14" s="54" t="s">
        <v>235</v>
      </c>
    </row>
    <row r="15" spans="1:3" s="46" customFormat="1" ht="15" x14ac:dyDescent="0.3">
      <c r="A15" s="54" t="s">
        <v>232</v>
      </c>
      <c r="B15" s="55">
        <v>42418</v>
      </c>
      <c r="C15" s="54" t="s">
        <v>229</v>
      </c>
    </row>
    <row r="16" spans="1:3" s="46" customFormat="1" ht="15" x14ac:dyDescent="0.3">
      <c r="A16" s="54"/>
      <c r="B16" s="55"/>
      <c r="C16" s="54" t="s">
        <v>233</v>
      </c>
    </row>
    <row r="17" spans="1:3" s="46" customFormat="1" ht="15" x14ac:dyDescent="0.3">
      <c r="A17" s="54"/>
      <c r="B17" s="55"/>
      <c r="C17" s="54" t="s">
        <v>230</v>
      </c>
    </row>
    <row r="18" spans="1:3" s="46" customFormat="1" ht="15" x14ac:dyDescent="0.3">
      <c r="A18" s="54"/>
      <c r="B18" s="55"/>
      <c r="C18" s="54" t="s">
        <v>231</v>
      </c>
    </row>
    <row r="19" spans="1:3" s="46" customFormat="1" ht="15" x14ac:dyDescent="0.3">
      <c r="A19" s="54" t="s">
        <v>225</v>
      </c>
      <c r="B19" s="55">
        <v>42030</v>
      </c>
      <c r="C19" s="54" t="s">
        <v>226</v>
      </c>
    </row>
    <row r="20" spans="1:3" s="46" customFormat="1" ht="15" x14ac:dyDescent="0.3">
      <c r="A20" s="54"/>
      <c r="B20" s="55"/>
      <c r="C20" s="54" t="s">
        <v>227</v>
      </c>
    </row>
    <row r="21" spans="1:3" s="46" customFormat="1" ht="15" x14ac:dyDescent="0.3">
      <c r="A21" s="54"/>
      <c r="B21" s="55"/>
      <c r="C21" s="54" t="s">
        <v>228</v>
      </c>
    </row>
    <row r="22" spans="1:3" s="46" customFormat="1" ht="15" x14ac:dyDescent="0.3">
      <c r="A22" s="54" t="s">
        <v>218</v>
      </c>
      <c r="B22" s="55">
        <v>42023</v>
      </c>
      <c r="C22" s="54" t="s">
        <v>219</v>
      </c>
    </row>
    <row r="23" spans="1:3" s="46" customFormat="1" ht="15" x14ac:dyDescent="0.3">
      <c r="A23" s="54"/>
      <c r="B23" s="55"/>
      <c r="C23" s="54" t="s">
        <v>220</v>
      </c>
    </row>
    <row r="24" spans="1:3" s="46" customFormat="1" ht="15" x14ac:dyDescent="0.3">
      <c r="A24" s="54"/>
      <c r="B24" s="55"/>
      <c r="C24" s="54" t="s">
        <v>221</v>
      </c>
    </row>
    <row r="25" spans="1:3" s="46" customFormat="1" ht="15" x14ac:dyDescent="0.3">
      <c r="A25" s="54"/>
      <c r="B25" s="55"/>
      <c r="C25" s="54" t="s">
        <v>222</v>
      </c>
    </row>
    <row r="26" spans="1:3" s="46" customFormat="1" ht="15" x14ac:dyDescent="0.3">
      <c r="A26" s="54"/>
      <c r="B26" s="55"/>
      <c r="C26" s="54" t="s">
        <v>223</v>
      </c>
    </row>
    <row r="27" spans="1:3" s="46" customFormat="1" ht="15" x14ac:dyDescent="0.3">
      <c r="A27" s="54"/>
      <c r="B27" s="55"/>
      <c r="C27" s="54" t="s">
        <v>224</v>
      </c>
    </row>
    <row r="28" spans="1:3" x14ac:dyDescent="0.25">
      <c r="A28" s="54" t="s">
        <v>215</v>
      </c>
      <c r="B28" s="55">
        <v>42356</v>
      </c>
      <c r="C28" s="54" t="s">
        <v>216</v>
      </c>
    </row>
    <row r="29" spans="1:3" x14ac:dyDescent="0.25">
      <c r="B29" s="55"/>
      <c r="C29" s="54" t="s">
        <v>217</v>
      </c>
    </row>
    <row r="30" spans="1:3" x14ac:dyDescent="0.25">
      <c r="A30" s="54" t="s">
        <v>209</v>
      </c>
      <c r="B30" s="55">
        <v>42353</v>
      </c>
      <c r="C30" s="54" t="s">
        <v>210</v>
      </c>
    </row>
    <row r="31" spans="1:3" x14ac:dyDescent="0.25">
      <c r="C31" s="54" t="s">
        <v>211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B050"/>
  </sheetPr>
  <dimension ref="A1:Y37"/>
  <sheetViews>
    <sheetView zoomScaleNormal="100" workbookViewId="0">
      <pane xSplit="1" topLeftCell="B1" activePane="topRight" state="frozen"/>
      <selection pane="topRight" activeCell="B2" sqref="B2"/>
    </sheetView>
  </sheetViews>
  <sheetFormatPr baseColWidth="10" defaultRowHeight="13.5" x14ac:dyDescent="0.2"/>
  <cols>
    <col min="1" max="1" width="6" style="60" bestFit="1" customWidth="1"/>
    <col min="2" max="2" width="6.85546875" style="60" bestFit="1" customWidth="1"/>
    <col min="3" max="3" width="7.28515625" style="60" bestFit="1" customWidth="1"/>
    <col min="4" max="4" width="7.28515625" style="60" hidden="1" customWidth="1"/>
    <col min="5" max="5" width="7.28515625" style="60" customWidth="1"/>
    <col min="6" max="6" width="5.7109375" style="60" bestFit="1" customWidth="1"/>
    <col min="7" max="7" width="12" style="60" customWidth="1"/>
    <col min="8" max="8" width="11" style="60" bestFit="1" customWidth="1"/>
    <col min="9" max="9" width="11" style="60" hidden="1" customWidth="1"/>
    <col min="10" max="10" width="9.28515625" style="60" customWidth="1"/>
    <col min="11" max="11" width="9.5703125" style="60" bestFit="1" customWidth="1"/>
    <col min="12" max="12" width="9.140625" style="60" customWidth="1"/>
    <col min="13" max="14" width="21.5703125" style="60" bestFit="1" customWidth="1"/>
    <col min="15" max="15" width="24.140625" style="60" bestFit="1" customWidth="1"/>
    <col min="16" max="16" width="17.28515625" style="60" bestFit="1" customWidth="1"/>
    <col min="17" max="18" width="17.28515625" style="60" hidden="1" customWidth="1"/>
    <col min="19" max="19" width="18.7109375" style="60" customWidth="1"/>
    <col min="20" max="20" width="13.7109375" style="60" bestFit="1" customWidth="1"/>
    <col min="21" max="21" width="36.28515625" style="60" bestFit="1" customWidth="1"/>
    <col min="22" max="22" width="13.5703125" style="60" bestFit="1" customWidth="1"/>
    <col min="23" max="23" width="21.7109375" style="60" customWidth="1"/>
    <col min="24" max="24" width="21.5703125" style="60" bestFit="1" customWidth="1"/>
    <col min="25" max="25" width="39" style="60" bestFit="1" customWidth="1"/>
    <col min="26" max="26" width="11.42578125" style="60"/>
    <col min="27" max="27" width="32.42578125" style="60" customWidth="1"/>
    <col min="28" max="16384" width="11.42578125" style="60"/>
  </cols>
  <sheetData>
    <row r="1" spans="1:25" s="57" customFormat="1" ht="15" x14ac:dyDescent="0.2">
      <c r="A1" s="69" t="s">
        <v>245</v>
      </c>
      <c r="B1" s="69" t="s">
        <v>246</v>
      </c>
      <c r="C1" s="69" t="s">
        <v>247</v>
      </c>
      <c r="D1" s="69" t="s">
        <v>408</v>
      </c>
      <c r="E1" s="69" t="s">
        <v>40</v>
      </c>
      <c r="F1" s="69" t="s">
        <v>248</v>
      </c>
      <c r="G1" s="69" t="s">
        <v>35</v>
      </c>
      <c r="H1" s="69" t="s">
        <v>41</v>
      </c>
      <c r="I1" s="69" t="s">
        <v>411</v>
      </c>
      <c r="J1" s="69" t="s">
        <v>249</v>
      </c>
      <c r="K1" s="69" t="s">
        <v>250</v>
      </c>
      <c r="L1" s="69" t="s">
        <v>251</v>
      </c>
      <c r="M1" s="69" t="s">
        <v>252</v>
      </c>
      <c r="N1" s="69" t="s">
        <v>253</v>
      </c>
      <c r="O1" s="69" t="s">
        <v>254</v>
      </c>
      <c r="P1" s="69" t="s">
        <v>255</v>
      </c>
      <c r="Q1" s="69" t="s">
        <v>42</v>
      </c>
      <c r="R1" s="69" t="s">
        <v>410</v>
      </c>
      <c r="S1" s="69" t="s">
        <v>256</v>
      </c>
      <c r="T1" s="69" t="s">
        <v>257</v>
      </c>
      <c r="U1" s="69" t="s">
        <v>258</v>
      </c>
      <c r="V1" s="69" t="s">
        <v>259</v>
      </c>
      <c r="W1" s="69" t="s">
        <v>260</v>
      </c>
      <c r="X1" s="69" t="s">
        <v>261</v>
      </c>
      <c r="Y1" s="69" t="s">
        <v>262</v>
      </c>
    </row>
    <row r="2" spans="1:25" x14ac:dyDescent="0.2">
      <c r="A2" s="70" t="s">
        <v>11</v>
      </c>
      <c r="B2" s="71"/>
      <c r="C2" s="71"/>
      <c r="D2" s="71"/>
      <c r="E2" s="71"/>
      <c r="F2" s="72" t="str">
        <f>IF(Menuiseries[[#This Row],[Haut.]]="","",2.15-Menuiseries[[#This Row],[Haut.]])</f>
        <v/>
      </c>
      <c r="G2" s="71"/>
      <c r="H2" s="71"/>
      <c r="I2" s="71"/>
      <c r="J2" s="74"/>
      <c r="K2" s="74"/>
      <c r="L2" s="75" t="str">
        <f>IF(Menuiseries[[#This Row],[Couleur int.]]="","",IF(Menuiseries[[#This Row],[Couleur ext.]]=Menuiseries[[#This Row],[Couleur int.]],"Monocolore","Bicolore"))</f>
        <v/>
      </c>
      <c r="M2" s="74"/>
      <c r="N2" s="74"/>
      <c r="O2" s="74"/>
      <c r="P2" s="74"/>
      <c r="Q2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" s="74"/>
      <c r="T2" s="74"/>
      <c r="U2" s="74"/>
      <c r="V2" s="74"/>
      <c r="W2" s="74"/>
      <c r="X2" s="74"/>
      <c r="Y2" s="74"/>
    </row>
    <row r="3" spans="1:25" x14ac:dyDescent="0.2">
      <c r="A3" s="70" t="s">
        <v>12</v>
      </c>
      <c r="B3" s="71"/>
      <c r="C3" s="71"/>
      <c r="D3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" s="71"/>
      <c r="F3" s="72" t="str">
        <f>IF(Menuiseries[[#This Row],[Haut.]]="","",2.15-Menuiseries[[#This Row],[Haut.]])</f>
        <v/>
      </c>
      <c r="G3" s="71"/>
      <c r="H3" s="71"/>
      <c r="I3" s="71" t="str">
        <f>IF(Menuiseries[[#This Row],[Embrasure]]="Oui",Menuiseries[[#This Row],[Larg.]]+2*Menuiseries[[#This Row],[Haut.]],"")</f>
        <v/>
      </c>
      <c r="J3" s="74"/>
      <c r="K3" s="74"/>
      <c r="L3" s="75" t="str">
        <f>IF(Menuiseries[[#This Row],[Couleur int.]]="","",IF(Menuiseries[[#This Row],[Couleur ext.]]=Menuiseries[[#This Row],[Couleur int.]],"Monocolore","Bicolore"))</f>
        <v/>
      </c>
      <c r="M3" s="74"/>
      <c r="N3" s="74"/>
      <c r="O3" s="74"/>
      <c r="P3" s="74"/>
      <c r="Q3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" s="74"/>
      <c r="T3" s="74"/>
      <c r="U3" s="74"/>
      <c r="V3" s="74"/>
      <c r="W3" s="74"/>
      <c r="X3" s="74"/>
      <c r="Y3" s="74"/>
    </row>
    <row r="4" spans="1:25" x14ac:dyDescent="0.2">
      <c r="A4" s="70" t="s">
        <v>13</v>
      </c>
      <c r="B4" s="71"/>
      <c r="C4" s="71"/>
      <c r="D4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4" s="71"/>
      <c r="F4" s="72" t="str">
        <f>IF(Menuiseries[[#This Row],[Haut.]]="","",2.15-Menuiseries[[#This Row],[Haut.]])</f>
        <v/>
      </c>
      <c r="G4" s="71"/>
      <c r="H4" s="71"/>
      <c r="I4" s="71" t="str">
        <f>IF(Menuiseries[[#This Row],[Embrasure]]="Oui",Menuiseries[[#This Row],[Larg.]]+2*Menuiseries[[#This Row],[Haut.]],"")</f>
        <v/>
      </c>
      <c r="J4" s="74"/>
      <c r="K4" s="74"/>
      <c r="L4" s="75" t="str">
        <f>IF(Menuiseries[[#This Row],[Couleur int.]]="","",IF(Menuiseries[[#This Row],[Couleur ext.]]=Menuiseries[[#This Row],[Couleur int.]],"Monocolore","Bicolore"))</f>
        <v/>
      </c>
      <c r="M4" s="74"/>
      <c r="N4" s="74"/>
      <c r="O4" s="74"/>
      <c r="P4" s="74"/>
      <c r="Q4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4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4" s="74"/>
      <c r="T4" s="74"/>
      <c r="U4" s="74"/>
      <c r="V4" s="74"/>
      <c r="W4" s="74"/>
      <c r="X4" s="74"/>
      <c r="Y4" s="74"/>
    </row>
    <row r="5" spans="1:25" x14ac:dyDescent="0.2">
      <c r="A5" s="70" t="s">
        <v>14</v>
      </c>
      <c r="B5" s="71"/>
      <c r="C5" s="71"/>
      <c r="D5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5" s="71"/>
      <c r="F5" s="72" t="str">
        <f>IF(Menuiseries[[#This Row],[Haut.]]="","",2.15-Menuiseries[[#This Row],[Haut.]])</f>
        <v/>
      </c>
      <c r="G5" s="71"/>
      <c r="H5" s="71"/>
      <c r="I5" s="71" t="str">
        <f>IF(Menuiseries[[#This Row],[Embrasure]]="Oui",Menuiseries[[#This Row],[Larg.]]+2*Menuiseries[[#This Row],[Haut.]],"")</f>
        <v/>
      </c>
      <c r="J5" s="74"/>
      <c r="K5" s="74"/>
      <c r="L5" s="75" t="str">
        <f>IF(Menuiseries[[#This Row],[Couleur int.]]="","",IF(Menuiseries[[#This Row],[Couleur ext.]]=Menuiseries[[#This Row],[Couleur int.]],"Monocolore","Bicolore"))</f>
        <v/>
      </c>
      <c r="M5" s="74"/>
      <c r="N5" s="74"/>
      <c r="O5" s="74"/>
      <c r="P5" s="74"/>
      <c r="Q5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5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5" s="74"/>
      <c r="T5" s="74"/>
      <c r="U5" s="74"/>
      <c r="V5" s="74"/>
      <c r="W5" s="74"/>
      <c r="X5" s="74"/>
      <c r="Y5" s="74"/>
    </row>
    <row r="6" spans="1:25" x14ac:dyDescent="0.2">
      <c r="A6" s="70" t="s">
        <v>15</v>
      </c>
      <c r="B6" s="71"/>
      <c r="C6" s="71"/>
      <c r="D6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6" s="71"/>
      <c r="F6" s="72" t="str">
        <f>IF(Menuiseries[[#This Row],[Haut.]]="","",2.15-Menuiseries[[#This Row],[Haut.]])</f>
        <v/>
      </c>
      <c r="G6" s="71"/>
      <c r="H6" s="71"/>
      <c r="I6" s="71" t="str">
        <f>IF(Menuiseries[[#This Row],[Embrasure]]="Oui",Menuiseries[[#This Row],[Larg.]]+2*Menuiseries[[#This Row],[Haut.]],"")</f>
        <v/>
      </c>
      <c r="J6" s="74"/>
      <c r="K6" s="74"/>
      <c r="L6" s="75" t="str">
        <f>IF(Menuiseries[[#This Row],[Couleur int.]]="","",IF(Menuiseries[[#This Row],[Couleur ext.]]=Menuiseries[[#This Row],[Couleur int.]],"Monocolore","Bicolore"))</f>
        <v/>
      </c>
      <c r="M6" s="74"/>
      <c r="N6" s="74"/>
      <c r="O6" s="74"/>
      <c r="P6" s="74"/>
      <c r="Q6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6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6" s="74"/>
      <c r="T6" s="74"/>
      <c r="U6" s="74"/>
      <c r="V6" s="74"/>
      <c r="W6" s="74"/>
      <c r="X6" s="74"/>
      <c r="Y6" s="74"/>
    </row>
    <row r="7" spans="1:25" x14ac:dyDescent="0.2">
      <c r="A7" s="70" t="s">
        <v>16</v>
      </c>
      <c r="B7" s="71"/>
      <c r="C7" s="71"/>
      <c r="D7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7" s="71"/>
      <c r="F7" s="72" t="str">
        <f>IF(Menuiseries[[#This Row],[Haut.]]="","",2.15-Menuiseries[[#This Row],[Haut.]])</f>
        <v/>
      </c>
      <c r="G7" s="71"/>
      <c r="H7" s="71"/>
      <c r="I7" s="71" t="str">
        <f>IF(Menuiseries[[#This Row],[Embrasure]]="Oui",Menuiseries[[#This Row],[Larg.]]+2*Menuiseries[[#This Row],[Haut.]],"")</f>
        <v/>
      </c>
      <c r="J7" s="74"/>
      <c r="K7" s="74"/>
      <c r="L7" s="75" t="str">
        <f>IF(Menuiseries[[#This Row],[Couleur int.]]="","",IF(Menuiseries[[#This Row],[Couleur ext.]]=Menuiseries[[#This Row],[Couleur int.]],"Monocolore","Bicolore"))</f>
        <v/>
      </c>
      <c r="M7" s="74"/>
      <c r="N7" s="74"/>
      <c r="O7" s="74"/>
      <c r="P7" s="74"/>
      <c r="Q7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7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7" s="74"/>
      <c r="T7" s="74"/>
      <c r="U7" s="74"/>
      <c r="V7" s="74"/>
      <c r="W7" s="74"/>
      <c r="X7" s="74"/>
      <c r="Y7" s="74"/>
    </row>
    <row r="8" spans="1:25" x14ac:dyDescent="0.2">
      <c r="A8" s="70" t="s">
        <v>17</v>
      </c>
      <c r="B8" s="71"/>
      <c r="C8" s="71"/>
      <c r="D8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8" s="71"/>
      <c r="F8" s="72" t="str">
        <f>IF(Menuiseries[[#This Row],[Haut.]]="","",2.15-Menuiseries[[#This Row],[Haut.]])</f>
        <v/>
      </c>
      <c r="G8" s="71"/>
      <c r="H8" s="71"/>
      <c r="I8" s="71" t="str">
        <f>IF(Menuiseries[[#This Row],[Embrasure]]="Oui",Menuiseries[[#This Row],[Larg.]]+2*Menuiseries[[#This Row],[Haut.]],"")</f>
        <v/>
      </c>
      <c r="J8" s="74"/>
      <c r="K8" s="74"/>
      <c r="L8" s="75" t="str">
        <f>IF(Menuiseries[[#This Row],[Couleur int.]]="","",IF(Menuiseries[[#This Row],[Couleur ext.]]=Menuiseries[[#This Row],[Couleur int.]],"Monocolore","Bicolore"))</f>
        <v/>
      </c>
      <c r="M8" s="74"/>
      <c r="N8" s="74"/>
      <c r="O8" s="74"/>
      <c r="P8" s="74"/>
      <c r="Q8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8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8" s="74"/>
      <c r="T8" s="74"/>
      <c r="U8" s="74"/>
      <c r="V8" s="74"/>
      <c r="W8" s="74"/>
      <c r="X8" s="74"/>
      <c r="Y8" s="74"/>
    </row>
    <row r="9" spans="1:25" x14ac:dyDescent="0.2">
      <c r="A9" s="70" t="s">
        <v>18</v>
      </c>
      <c r="B9" s="71"/>
      <c r="C9" s="71"/>
      <c r="D9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9" s="71"/>
      <c r="F9" s="72" t="str">
        <f>IF(Menuiseries[[#This Row],[Haut.]]="","",2.15-Menuiseries[[#This Row],[Haut.]])</f>
        <v/>
      </c>
      <c r="G9" s="71"/>
      <c r="H9" s="71"/>
      <c r="I9" s="71" t="str">
        <f>IF(Menuiseries[[#This Row],[Embrasure]]="Oui",Menuiseries[[#This Row],[Larg.]]+2*Menuiseries[[#This Row],[Haut.]],"")</f>
        <v/>
      </c>
      <c r="J9" s="74"/>
      <c r="K9" s="74"/>
      <c r="L9" s="75" t="str">
        <f>IF(Menuiseries[[#This Row],[Couleur int.]]="","",IF(Menuiseries[[#This Row],[Couleur ext.]]=Menuiseries[[#This Row],[Couleur int.]],"Monocolore","Bicolore"))</f>
        <v/>
      </c>
      <c r="M9" s="74"/>
      <c r="N9" s="74"/>
      <c r="O9" s="74"/>
      <c r="P9" s="74"/>
      <c r="Q9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9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9" s="74"/>
      <c r="T9" s="74"/>
      <c r="U9" s="74"/>
      <c r="V9" s="74"/>
      <c r="W9" s="74"/>
      <c r="X9" s="74"/>
      <c r="Y9" s="74"/>
    </row>
    <row r="10" spans="1:25" x14ac:dyDescent="0.2">
      <c r="A10" s="70" t="s">
        <v>10</v>
      </c>
      <c r="B10" s="71"/>
      <c r="C10" s="71"/>
      <c r="D10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0" s="71"/>
      <c r="F10" s="72" t="str">
        <f>IF(Menuiseries[[#This Row],[Haut.]]="","",2.15-Menuiseries[[#This Row],[Haut.]])</f>
        <v/>
      </c>
      <c r="G10" s="71"/>
      <c r="H10" s="71"/>
      <c r="I10" s="71" t="str">
        <f>IF(Menuiseries[[#This Row],[Embrasure]]="Oui",Menuiseries[[#This Row],[Larg.]]+2*Menuiseries[[#This Row],[Haut.]],"")</f>
        <v/>
      </c>
      <c r="J10" s="74"/>
      <c r="K10" s="74"/>
      <c r="L10" s="75" t="str">
        <f>IF(Menuiseries[[#This Row],[Couleur int.]]="","",IF(Menuiseries[[#This Row],[Couleur ext.]]=Menuiseries[[#This Row],[Couleur int.]],"Monocolore","Bicolore"))</f>
        <v/>
      </c>
      <c r="M10" s="74"/>
      <c r="N10" s="74"/>
      <c r="O10" s="74"/>
      <c r="P10" s="74"/>
      <c r="Q10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0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0" s="74"/>
      <c r="T10" s="74"/>
      <c r="U10" s="74"/>
      <c r="V10" s="74"/>
      <c r="W10" s="74"/>
      <c r="X10" s="74"/>
      <c r="Y10" s="74"/>
    </row>
    <row r="11" spans="1:25" x14ac:dyDescent="0.2">
      <c r="A11" s="70" t="s">
        <v>19</v>
      </c>
      <c r="B11" s="71"/>
      <c r="C11" s="71"/>
      <c r="D11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1" s="71"/>
      <c r="F11" s="72" t="str">
        <f>IF(Menuiseries[[#This Row],[Haut.]]="","",2.15-Menuiseries[[#This Row],[Haut.]])</f>
        <v/>
      </c>
      <c r="G11" s="71"/>
      <c r="H11" s="71"/>
      <c r="I11" s="71" t="str">
        <f>IF(Menuiseries[[#This Row],[Embrasure]]="Oui",Menuiseries[[#This Row],[Larg.]]+2*Menuiseries[[#This Row],[Haut.]],"")</f>
        <v/>
      </c>
      <c r="J11" s="74"/>
      <c r="K11" s="74"/>
      <c r="L11" s="75" t="str">
        <f>IF(Menuiseries[[#This Row],[Couleur int.]]="","",IF(Menuiseries[[#This Row],[Couleur ext.]]=Menuiseries[[#This Row],[Couleur int.]],"Monocolore","Bicolore"))</f>
        <v/>
      </c>
      <c r="M11" s="74"/>
      <c r="N11" s="74"/>
      <c r="O11" s="74"/>
      <c r="P11" s="74"/>
      <c r="Q11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1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1" s="74"/>
      <c r="T11" s="74"/>
      <c r="U11" s="74"/>
      <c r="V11" s="74"/>
      <c r="W11" s="74"/>
      <c r="X11" s="74"/>
      <c r="Y11" s="74"/>
    </row>
    <row r="12" spans="1:25" x14ac:dyDescent="0.2">
      <c r="A12" s="70" t="s">
        <v>20</v>
      </c>
      <c r="B12" s="71"/>
      <c r="C12" s="71"/>
      <c r="D12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2" s="71"/>
      <c r="F12" s="72" t="str">
        <f>IF(Menuiseries[[#This Row],[Haut.]]="","",2.15-Menuiseries[[#This Row],[Haut.]])</f>
        <v/>
      </c>
      <c r="G12" s="71"/>
      <c r="H12" s="71"/>
      <c r="I12" s="71" t="str">
        <f>IF(Menuiseries[[#This Row],[Embrasure]]="Oui",Menuiseries[[#This Row],[Larg.]]+2*Menuiseries[[#This Row],[Haut.]],"")</f>
        <v/>
      </c>
      <c r="J12" s="74"/>
      <c r="K12" s="74"/>
      <c r="L12" s="75" t="str">
        <f>IF(Menuiseries[[#This Row],[Couleur int.]]="","",IF(Menuiseries[[#This Row],[Couleur ext.]]=Menuiseries[[#This Row],[Couleur int.]],"Monocolore","Bicolore"))</f>
        <v/>
      </c>
      <c r="M12" s="74"/>
      <c r="N12" s="74"/>
      <c r="O12" s="74"/>
      <c r="P12" s="74"/>
      <c r="Q12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2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2" s="74"/>
      <c r="T12" s="74"/>
      <c r="U12" s="74"/>
      <c r="V12" s="74"/>
      <c r="W12" s="74"/>
      <c r="X12" s="74"/>
      <c r="Y12" s="74"/>
    </row>
    <row r="13" spans="1:25" x14ac:dyDescent="0.2">
      <c r="A13" s="70" t="s">
        <v>21</v>
      </c>
      <c r="B13" s="71"/>
      <c r="C13" s="71"/>
      <c r="D13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3" s="71"/>
      <c r="F13" s="72" t="str">
        <f>IF(Menuiseries[[#This Row],[Haut.]]="","",2.15-Menuiseries[[#This Row],[Haut.]])</f>
        <v/>
      </c>
      <c r="G13" s="71"/>
      <c r="H13" s="71"/>
      <c r="I13" s="71" t="str">
        <f>IF(Menuiseries[[#This Row],[Embrasure]]="Oui",Menuiseries[[#This Row],[Larg.]]+2*Menuiseries[[#This Row],[Haut.]],"")</f>
        <v/>
      </c>
      <c r="J13" s="74"/>
      <c r="K13" s="74"/>
      <c r="L13" s="75" t="str">
        <f>IF(Menuiseries[[#This Row],[Couleur int.]]="","",IF(Menuiseries[[#This Row],[Couleur ext.]]=Menuiseries[[#This Row],[Couleur int.]],"Monocolore","Bicolore"))</f>
        <v/>
      </c>
      <c r="M13" s="74"/>
      <c r="N13" s="74"/>
      <c r="O13" s="74"/>
      <c r="P13" s="74"/>
      <c r="Q13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3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3" s="74"/>
      <c r="T13" s="74"/>
      <c r="U13" s="74"/>
      <c r="V13" s="74"/>
      <c r="W13" s="74"/>
      <c r="X13" s="74"/>
      <c r="Y13" s="74"/>
    </row>
    <row r="14" spans="1:25" x14ac:dyDescent="0.2">
      <c r="A14" s="70" t="s">
        <v>22</v>
      </c>
      <c r="B14" s="71"/>
      <c r="C14" s="71"/>
      <c r="D14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4" s="71"/>
      <c r="F14" s="72" t="str">
        <f>IF(Menuiseries[[#This Row],[Haut.]]="","",2.15-Menuiseries[[#This Row],[Haut.]])</f>
        <v/>
      </c>
      <c r="G14" s="71"/>
      <c r="H14" s="71"/>
      <c r="I14" s="71" t="str">
        <f>IF(Menuiseries[[#This Row],[Embrasure]]="Oui",Menuiseries[[#This Row],[Larg.]]+2*Menuiseries[[#This Row],[Haut.]],"")</f>
        <v/>
      </c>
      <c r="J14" s="74"/>
      <c r="K14" s="74"/>
      <c r="L14" s="75" t="str">
        <f>IF(Menuiseries[[#This Row],[Couleur int.]]="","",IF(Menuiseries[[#This Row],[Couleur ext.]]=Menuiseries[[#This Row],[Couleur int.]],"Monocolore","Bicolore"))</f>
        <v/>
      </c>
      <c r="M14" s="74"/>
      <c r="N14" s="74"/>
      <c r="O14" s="74"/>
      <c r="P14" s="74"/>
      <c r="Q14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4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4" s="74"/>
      <c r="T14" s="74"/>
      <c r="U14" s="74"/>
      <c r="V14" s="74"/>
      <c r="W14" s="74"/>
      <c r="X14" s="74"/>
      <c r="Y14" s="74"/>
    </row>
    <row r="15" spans="1:25" x14ac:dyDescent="0.2">
      <c r="A15" s="70" t="s">
        <v>23</v>
      </c>
      <c r="B15" s="71"/>
      <c r="C15" s="71"/>
      <c r="D15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5" s="71"/>
      <c r="F15" s="72" t="str">
        <f>IF(Menuiseries[[#This Row],[Haut.]]="","",2.15-Menuiseries[[#This Row],[Haut.]])</f>
        <v/>
      </c>
      <c r="G15" s="71"/>
      <c r="H15" s="71"/>
      <c r="I15" s="71" t="str">
        <f>IF(Menuiseries[[#This Row],[Embrasure]]="Oui",Menuiseries[[#This Row],[Larg.]]+2*Menuiseries[[#This Row],[Haut.]],"")</f>
        <v/>
      </c>
      <c r="J15" s="74"/>
      <c r="K15" s="74"/>
      <c r="L15" s="75" t="str">
        <f>IF(Menuiseries[[#This Row],[Couleur int.]]="","",IF(Menuiseries[[#This Row],[Couleur ext.]]=Menuiseries[[#This Row],[Couleur int.]],"Monocolore","Bicolore"))</f>
        <v/>
      </c>
      <c r="M15" s="74"/>
      <c r="N15" s="74"/>
      <c r="O15" s="74"/>
      <c r="P15" s="74"/>
      <c r="Q15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5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5" s="74"/>
      <c r="T15" s="74"/>
      <c r="U15" s="74"/>
      <c r="V15" s="74"/>
      <c r="W15" s="74"/>
      <c r="X15" s="74"/>
      <c r="Y15" s="74"/>
    </row>
    <row r="16" spans="1:25" x14ac:dyDescent="0.2">
      <c r="A16" s="70" t="s">
        <v>24</v>
      </c>
      <c r="B16" s="71"/>
      <c r="C16" s="71"/>
      <c r="D16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6" s="71"/>
      <c r="F16" s="72" t="str">
        <f>IF(Menuiseries[[#This Row],[Haut.]]="","",2.15-Menuiseries[[#This Row],[Haut.]])</f>
        <v/>
      </c>
      <c r="G16" s="71"/>
      <c r="H16" s="71"/>
      <c r="I16" s="71" t="str">
        <f>IF(Menuiseries[[#This Row],[Embrasure]]="Oui",Menuiseries[[#This Row],[Larg.]]+2*Menuiseries[[#This Row],[Haut.]],"")</f>
        <v/>
      </c>
      <c r="J16" s="74"/>
      <c r="K16" s="74"/>
      <c r="L16" s="75" t="str">
        <f>IF(Menuiseries[[#This Row],[Couleur int.]]="","",IF(Menuiseries[[#This Row],[Couleur ext.]]=Menuiseries[[#This Row],[Couleur int.]],"Monocolore","Bicolore"))</f>
        <v/>
      </c>
      <c r="M16" s="74"/>
      <c r="N16" s="74"/>
      <c r="O16" s="74"/>
      <c r="P16" s="61"/>
      <c r="Q16" s="61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6" s="61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6" s="61"/>
      <c r="T16" s="74"/>
      <c r="U16" s="74"/>
      <c r="V16" s="74"/>
      <c r="W16" s="74"/>
      <c r="X16" s="74"/>
      <c r="Y16" s="74"/>
    </row>
    <row r="17" spans="1:25" x14ac:dyDescent="0.2">
      <c r="A17" s="70" t="s">
        <v>25</v>
      </c>
      <c r="B17" s="71"/>
      <c r="C17" s="71"/>
      <c r="D17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7" s="71"/>
      <c r="F17" s="72" t="str">
        <f>IF(Menuiseries[[#This Row],[Haut.]]="","",2.15-Menuiseries[[#This Row],[Haut.]])</f>
        <v/>
      </c>
      <c r="G17" s="71"/>
      <c r="H17" s="71"/>
      <c r="I17" s="71" t="str">
        <f>IF(Menuiseries[[#This Row],[Embrasure]]="Oui",Menuiseries[[#This Row],[Larg.]]+2*Menuiseries[[#This Row],[Haut.]],"")</f>
        <v/>
      </c>
      <c r="J17" s="74"/>
      <c r="K17" s="74"/>
      <c r="L17" s="75" t="str">
        <f>IF(Menuiseries[[#This Row],[Couleur int.]]="","",IF(Menuiseries[[#This Row],[Couleur ext.]]=Menuiseries[[#This Row],[Couleur int.]],"Monocolore","Bicolore"))</f>
        <v/>
      </c>
      <c r="M17" s="74"/>
      <c r="N17" s="74"/>
      <c r="O17" s="74"/>
      <c r="P17" s="74"/>
      <c r="Q17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7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7" s="74"/>
      <c r="T17" s="74"/>
      <c r="U17" s="74"/>
      <c r="V17" s="74"/>
      <c r="W17" s="74"/>
      <c r="X17" s="74"/>
      <c r="Y17" s="74"/>
    </row>
    <row r="18" spans="1:25" x14ac:dyDescent="0.2">
      <c r="A18" s="70" t="s">
        <v>26</v>
      </c>
      <c r="B18" s="71"/>
      <c r="C18" s="71"/>
      <c r="D18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8" s="71"/>
      <c r="F18" s="72" t="str">
        <f>IF(Menuiseries[[#This Row],[Haut.]]="","",2.15-Menuiseries[[#This Row],[Haut.]])</f>
        <v/>
      </c>
      <c r="G18" s="71"/>
      <c r="H18" s="71"/>
      <c r="I18" s="71" t="str">
        <f>IF(Menuiseries[[#This Row],[Embrasure]]="Oui",Menuiseries[[#This Row],[Larg.]]+2*Menuiseries[[#This Row],[Haut.]],"")</f>
        <v/>
      </c>
      <c r="J18" s="74"/>
      <c r="K18" s="74"/>
      <c r="L18" s="75" t="str">
        <f>IF(Menuiseries[[#This Row],[Couleur int.]]="","",IF(Menuiseries[[#This Row],[Couleur ext.]]=Menuiseries[[#This Row],[Couleur int.]],"Monocolore","Bicolore"))</f>
        <v/>
      </c>
      <c r="M18" s="74"/>
      <c r="N18" s="74"/>
      <c r="O18" s="74"/>
      <c r="P18" s="74"/>
      <c r="Q18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8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8" s="74"/>
      <c r="T18" s="74"/>
      <c r="U18" s="74"/>
      <c r="V18" s="74"/>
      <c r="W18" s="74"/>
      <c r="X18" s="74"/>
      <c r="Y18" s="74"/>
    </row>
    <row r="19" spans="1:25" x14ac:dyDescent="0.2">
      <c r="A19" s="70" t="s">
        <v>27</v>
      </c>
      <c r="B19" s="71"/>
      <c r="C19" s="71"/>
      <c r="D19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19" s="71"/>
      <c r="F19" s="72" t="str">
        <f>IF(Menuiseries[[#This Row],[Haut.]]="","",2.15-Menuiseries[[#This Row],[Haut.]])</f>
        <v/>
      </c>
      <c r="G19" s="71"/>
      <c r="H19" s="71"/>
      <c r="I19" s="71" t="str">
        <f>IF(Menuiseries[[#This Row],[Embrasure]]="Oui",Menuiseries[[#This Row],[Larg.]]+2*Menuiseries[[#This Row],[Haut.]],"")</f>
        <v/>
      </c>
      <c r="J19" s="74"/>
      <c r="K19" s="74"/>
      <c r="L19" s="75" t="str">
        <f>IF(Menuiseries[[#This Row],[Couleur int.]]="","",IF(Menuiseries[[#This Row],[Couleur ext.]]=Menuiseries[[#This Row],[Couleur int.]],"Monocolore","Bicolore"))</f>
        <v/>
      </c>
      <c r="M19" s="74"/>
      <c r="N19" s="74"/>
      <c r="O19" s="74"/>
      <c r="P19" s="74"/>
      <c r="Q19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19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19" s="74"/>
      <c r="T19" s="74"/>
      <c r="U19" s="74"/>
      <c r="V19" s="74"/>
      <c r="W19" s="74"/>
      <c r="X19" s="74"/>
      <c r="Y19" s="74"/>
    </row>
    <row r="20" spans="1:25" x14ac:dyDescent="0.2">
      <c r="A20" s="70" t="s">
        <v>28</v>
      </c>
      <c r="B20" s="71"/>
      <c r="C20" s="71"/>
      <c r="D20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0" s="71"/>
      <c r="F20" s="72" t="str">
        <f>IF(Menuiseries[[#This Row],[Haut.]]="","",2.15-Menuiseries[[#This Row],[Haut.]])</f>
        <v/>
      </c>
      <c r="G20" s="71"/>
      <c r="H20" s="71"/>
      <c r="I20" s="71" t="str">
        <f>IF(Menuiseries[[#This Row],[Embrasure]]="Oui",Menuiseries[[#This Row],[Larg.]]+2*Menuiseries[[#This Row],[Haut.]],"")</f>
        <v/>
      </c>
      <c r="J20" s="74"/>
      <c r="K20" s="74"/>
      <c r="L20" s="75" t="str">
        <f>IF(Menuiseries[[#This Row],[Couleur int.]]="","",IF(Menuiseries[[#This Row],[Couleur ext.]]=Menuiseries[[#This Row],[Couleur int.]],"Monocolore","Bicolore"))</f>
        <v/>
      </c>
      <c r="M20" s="74"/>
      <c r="N20" s="74"/>
      <c r="O20" s="74"/>
      <c r="P20" s="74"/>
      <c r="Q20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0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0" s="74"/>
      <c r="T20" s="74"/>
      <c r="U20" s="74"/>
      <c r="V20" s="74"/>
      <c r="W20" s="74"/>
      <c r="X20" s="74"/>
      <c r="Y20" s="74"/>
    </row>
    <row r="21" spans="1:25" x14ac:dyDescent="0.2">
      <c r="A21" s="70" t="s">
        <v>29</v>
      </c>
      <c r="B21" s="71"/>
      <c r="C21" s="71"/>
      <c r="D21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1" s="71"/>
      <c r="F21" s="72" t="str">
        <f>IF(Menuiseries[[#This Row],[Haut.]]="","",2.15-Menuiseries[[#This Row],[Haut.]])</f>
        <v/>
      </c>
      <c r="G21" s="71"/>
      <c r="H21" s="71"/>
      <c r="I21" s="71" t="str">
        <f>IF(Menuiseries[[#This Row],[Embrasure]]="Oui",Menuiseries[[#This Row],[Larg.]]+2*Menuiseries[[#This Row],[Haut.]],"")</f>
        <v/>
      </c>
      <c r="J21" s="74"/>
      <c r="K21" s="74"/>
      <c r="L21" s="75" t="str">
        <f>IF(Menuiseries[[#This Row],[Couleur int.]]="","",IF(Menuiseries[[#This Row],[Couleur ext.]]=Menuiseries[[#This Row],[Couleur int.]],"Monocolore","Bicolore"))</f>
        <v/>
      </c>
      <c r="M21" s="74"/>
      <c r="N21" s="74"/>
      <c r="O21" s="74"/>
      <c r="P21" s="74"/>
      <c r="Q21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1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1" s="74"/>
      <c r="T21" s="74"/>
      <c r="U21" s="74"/>
      <c r="V21" s="74"/>
      <c r="W21" s="74"/>
      <c r="X21" s="74"/>
      <c r="Y21" s="74"/>
    </row>
    <row r="22" spans="1:25" x14ac:dyDescent="0.2">
      <c r="A22" s="70" t="s">
        <v>7</v>
      </c>
      <c r="B22" s="71"/>
      <c r="C22" s="71"/>
      <c r="D22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2" s="71"/>
      <c r="F22" s="72" t="str">
        <f>IF(Menuiseries[[#This Row],[Haut.]]="","",2.15-Menuiseries[[#This Row],[Haut.]])</f>
        <v/>
      </c>
      <c r="G22" s="71"/>
      <c r="H22" s="71"/>
      <c r="I22" s="71" t="str">
        <f>IF(Menuiseries[[#This Row],[Embrasure]]="Oui",Menuiseries[[#This Row],[Larg.]]+2*Menuiseries[[#This Row],[Haut.]],"")</f>
        <v/>
      </c>
      <c r="J22" s="74"/>
      <c r="K22" s="74"/>
      <c r="L22" s="75" t="str">
        <f>IF(Menuiseries[[#This Row],[Couleur int.]]="","",IF(Menuiseries[[#This Row],[Couleur ext.]]=Menuiseries[[#This Row],[Couleur int.]],"Monocolore","Bicolore"))</f>
        <v/>
      </c>
      <c r="M22" s="74"/>
      <c r="N22" s="74"/>
      <c r="O22" s="74"/>
      <c r="P22" s="74"/>
      <c r="Q22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2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2" s="74"/>
      <c r="T22" s="74"/>
      <c r="U22" s="74"/>
      <c r="V22" s="74"/>
      <c r="W22" s="74"/>
      <c r="X22" s="74"/>
      <c r="Y22" s="74"/>
    </row>
    <row r="23" spans="1:25" x14ac:dyDescent="0.2">
      <c r="A23" s="70" t="s">
        <v>30</v>
      </c>
      <c r="B23" s="71"/>
      <c r="C23" s="71"/>
      <c r="D23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3" s="71"/>
      <c r="F23" s="72" t="str">
        <f>IF(Menuiseries[[#This Row],[Haut.]]="","",2.15-Menuiseries[[#This Row],[Haut.]])</f>
        <v/>
      </c>
      <c r="G23" s="71"/>
      <c r="H23" s="71"/>
      <c r="I23" s="71" t="str">
        <f>IF(Menuiseries[[#This Row],[Embrasure]]="Oui",Menuiseries[[#This Row],[Larg.]]+2*Menuiseries[[#This Row],[Haut.]],"")</f>
        <v/>
      </c>
      <c r="J23" s="74"/>
      <c r="K23" s="74"/>
      <c r="L23" s="75" t="str">
        <f>IF(Menuiseries[[#This Row],[Couleur int.]]="","",IF(Menuiseries[[#This Row],[Couleur ext.]]=Menuiseries[[#This Row],[Couleur int.]],"Monocolore","Bicolore"))</f>
        <v/>
      </c>
      <c r="M23" s="74"/>
      <c r="N23" s="74"/>
      <c r="O23" s="74"/>
      <c r="P23" s="74"/>
      <c r="Q23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3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3" s="74"/>
      <c r="T23" s="74"/>
      <c r="U23" s="74"/>
      <c r="V23" s="74"/>
      <c r="W23" s="74"/>
      <c r="X23" s="74"/>
      <c r="Y23" s="74"/>
    </row>
    <row r="24" spans="1:25" x14ac:dyDescent="0.2">
      <c r="A24" s="70" t="s">
        <v>31</v>
      </c>
      <c r="B24" s="71"/>
      <c r="C24" s="71"/>
      <c r="D24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4" s="71"/>
      <c r="F24" s="72" t="str">
        <f>IF(Menuiseries[[#This Row],[Haut.]]="","",2.15-Menuiseries[[#This Row],[Haut.]])</f>
        <v/>
      </c>
      <c r="G24" s="71"/>
      <c r="H24" s="71"/>
      <c r="I24" s="71" t="str">
        <f>IF(Menuiseries[[#This Row],[Embrasure]]="Oui",Menuiseries[[#This Row],[Larg.]]+2*Menuiseries[[#This Row],[Haut.]],"")</f>
        <v/>
      </c>
      <c r="J24" s="74"/>
      <c r="K24" s="74"/>
      <c r="L24" s="75" t="str">
        <f>IF(Menuiseries[[#This Row],[Couleur int.]]="","",IF(Menuiseries[[#This Row],[Couleur ext.]]=Menuiseries[[#This Row],[Couleur int.]],"Monocolore","Bicolore"))</f>
        <v/>
      </c>
      <c r="M24" s="74"/>
      <c r="N24" s="74"/>
      <c r="O24" s="74"/>
      <c r="P24" s="74"/>
      <c r="Q24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4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4" s="74"/>
      <c r="T24" s="74"/>
      <c r="U24" s="74"/>
      <c r="V24" s="74"/>
      <c r="W24" s="74"/>
      <c r="X24" s="74"/>
      <c r="Y24" s="74"/>
    </row>
    <row r="25" spans="1:25" x14ac:dyDescent="0.2">
      <c r="A25" s="70" t="s">
        <v>32</v>
      </c>
      <c r="B25" s="71"/>
      <c r="C25" s="71"/>
      <c r="D25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5" s="71"/>
      <c r="F25" s="72" t="str">
        <f>IF(Menuiseries[[#This Row],[Haut.]]="","",2.15-Menuiseries[[#This Row],[Haut.]])</f>
        <v/>
      </c>
      <c r="G25" s="71"/>
      <c r="H25" s="71"/>
      <c r="I25" s="71" t="str">
        <f>IF(Menuiseries[[#This Row],[Embrasure]]="Oui",Menuiseries[[#This Row],[Larg.]]+2*Menuiseries[[#This Row],[Haut.]],"")</f>
        <v/>
      </c>
      <c r="J25" s="74"/>
      <c r="K25" s="74"/>
      <c r="L25" s="75" t="str">
        <f>IF(Menuiseries[[#This Row],[Couleur int.]]="","",IF(Menuiseries[[#This Row],[Couleur ext.]]=Menuiseries[[#This Row],[Couleur int.]],"Monocolore","Bicolore"))</f>
        <v/>
      </c>
      <c r="M25" s="74"/>
      <c r="N25" s="74"/>
      <c r="O25" s="74"/>
      <c r="P25" s="74"/>
      <c r="Q25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5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5" s="74"/>
      <c r="T25" s="74"/>
      <c r="U25" s="74"/>
      <c r="V25" s="74"/>
      <c r="W25" s="74"/>
      <c r="X25" s="74"/>
      <c r="Y25" s="74"/>
    </row>
    <row r="26" spans="1:25" x14ac:dyDescent="0.2">
      <c r="A26" s="70" t="s">
        <v>33</v>
      </c>
      <c r="B26" s="71"/>
      <c r="C26" s="71"/>
      <c r="D26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6" s="71"/>
      <c r="F26" s="72" t="str">
        <f>IF(Menuiseries[[#This Row],[Haut.]]="","",2.15-Menuiseries[[#This Row],[Haut.]])</f>
        <v/>
      </c>
      <c r="G26" s="71"/>
      <c r="H26" s="71"/>
      <c r="I26" s="71" t="str">
        <f>IF(Menuiseries[[#This Row],[Embrasure]]="Oui",Menuiseries[[#This Row],[Larg.]]+2*Menuiseries[[#This Row],[Haut.]],"")</f>
        <v/>
      </c>
      <c r="J26" s="74"/>
      <c r="K26" s="74"/>
      <c r="L26" s="75" t="str">
        <f>IF(Menuiseries[[#This Row],[Couleur int.]]="","",IF(Menuiseries[[#This Row],[Couleur ext.]]=Menuiseries[[#This Row],[Couleur int.]],"Monocolore","Bicolore"))</f>
        <v/>
      </c>
      <c r="M26" s="74"/>
      <c r="N26" s="74"/>
      <c r="O26" s="74"/>
      <c r="P26" s="74"/>
      <c r="Q26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6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6" s="74"/>
      <c r="T26" s="74"/>
      <c r="U26" s="74"/>
      <c r="V26" s="74"/>
      <c r="W26" s="74"/>
      <c r="X26" s="74"/>
      <c r="Y26" s="74"/>
    </row>
    <row r="27" spans="1:25" x14ac:dyDescent="0.2">
      <c r="A27" s="70" t="s">
        <v>34</v>
      </c>
      <c r="B27" s="71"/>
      <c r="C27" s="71"/>
      <c r="D27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7" s="71"/>
      <c r="F27" s="72" t="str">
        <f>IF(Menuiseries[[#This Row],[Haut.]]="","",2.15-Menuiseries[[#This Row],[Haut.]])</f>
        <v/>
      </c>
      <c r="G27" s="71"/>
      <c r="H27" s="71"/>
      <c r="I27" s="71" t="str">
        <f>IF(Menuiseries[[#This Row],[Embrasure]]="Oui",Menuiseries[[#This Row],[Larg.]]+2*Menuiseries[[#This Row],[Haut.]],"")</f>
        <v/>
      </c>
      <c r="J27" s="74"/>
      <c r="K27" s="74"/>
      <c r="L27" s="75" t="str">
        <f>IF(Menuiseries[[#This Row],[Couleur int.]]="","",IF(Menuiseries[[#This Row],[Couleur ext.]]=Menuiseries[[#This Row],[Couleur int.]],"Monocolore","Bicolore"))</f>
        <v/>
      </c>
      <c r="M27" s="74"/>
      <c r="N27" s="74"/>
      <c r="O27" s="74"/>
      <c r="P27" s="74"/>
      <c r="Q27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7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7" s="74"/>
      <c r="T27" s="74"/>
      <c r="U27" s="74"/>
      <c r="V27" s="74"/>
      <c r="W27" s="74"/>
      <c r="X27" s="74"/>
      <c r="Y27" s="74"/>
    </row>
    <row r="28" spans="1:25" x14ac:dyDescent="0.2">
      <c r="A28" s="70"/>
      <c r="B28" s="71"/>
      <c r="C28" s="71"/>
      <c r="D28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8" s="71"/>
      <c r="F28" s="72" t="str">
        <f>IF(Menuiseries[[#This Row],[Haut.]]="","",2.15-Menuiseries[[#This Row],[Haut.]])</f>
        <v/>
      </c>
      <c r="G28" s="71"/>
      <c r="H28" s="71"/>
      <c r="I28" s="71" t="str">
        <f>IF(Menuiseries[[#This Row],[Embrasure]]="Oui",Menuiseries[[#This Row],[Larg.]]+2*Menuiseries[[#This Row],[Haut.]],"")</f>
        <v/>
      </c>
      <c r="J28" s="74"/>
      <c r="K28" s="74"/>
      <c r="L28" s="75" t="str">
        <f>IF(Menuiseries[[#This Row],[Couleur int.]]="","",IF(Menuiseries[[#This Row],[Couleur ext.]]=Menuiseries[[#This Row],[Couleur int.]],"Monocolore","Bicolore"))</f>
        <v/>
      </c>
      <c r="M28" s="74"/>
      <c r="N28" s="74"/>
      <c r="O28" s="74"/>
      <c r="P28" s="74"/>
      <c r="Q28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8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8" s="74"/>
      <c r="T28" s="74"/>
      <c r="U28" s="74"/>
      <c r="V28" s="74"/>
      <c r="W28" s="74"/>
      <c r="X28" s="74"/>
      <c r="Y28" s="74"/>
    </row>
    <row r="29" spans="1:25" x14ac:dyDescent="0.2">
      <c r="A29" s="70"/>
      <c r="B29" s="71"/>
      <c r="C29" s="71"/>
      <c r="D29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29" s="71"/>
      <c r="F29" s="72" t="str">
        <f>IF(Menuiseries[[#This Row],[Haut.]]="","",2.15-Menuiseries[[#This Row],[Haut.]])</f>
        <v/>
      </c>
      <c r="G29" s="71"/>
      <c r="H29" s="71"/>
      <c r="I29" s="71" t="str">
        <f>IF(Menuiseries[[#This Row],[Embrasure]]="Oui",Menuiseries[[#This Row],[Larg.]]+2*Menuiseries[[#This Row],[Haut.]],"")</f>
        <v/>
      </c>
      <c r="J29" s="74"/>
      <c r="K29" s="74"/>
      <c r="L29" s="75" t="str">
        <f>IF(Menuiseries[[#This Row],[Couleur int.]]="","",IF(Menuiseries[[#This Row],[Couleur ext.]]=Menuiseries[[#This Row],[Couleur int.]],"Monocolore","Bicolore"))</f>
        <v/>
      </c>
      <c r="M29" s="74"/>
      <c r="N29" s="74"/>
      <c r="O29" s="74"/>
      <c r="P29" s="74"/>
      <c r="Q29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29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29" s="74"/>
      <c r="T29" s="74"/>
      <c r="U29" s="74"/>
      <c r="V29" s="74"/>
      <c r="W29" s="74"/>
      <c r="X29" s="74"/>
      <c r="Y29" s="74"/>
    </row>
    <row r="30" spans="1:25" x14ac:dyDescent="0.2">
      <c r="A30" s="70"/>
      <c r="B30" s="71"/>
      <c r="C30" s="71"/>
      <c r="D30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0" s="71"/>
      <c r="F30" s="72" t="str">
        <f>IF(Menuiseries[[#This Row],[Haut.]]="","",2.15-Menuiseries[[#This Row],[Haut.]])</f>
        <v/>
      </c>
      <c r="G30" s="71"/>
      <c r="H30" s="71"/>
      <c r="I30" s="71" t="str">
        <f>IF(Menuiseries[[#This Row],[Embrasure]]="Oui",Menuiseries[[#This Row],[Larg.]]+2*Menuiseries[[#This Row],[Haut.]],"")</f>
        <v/>
      </c>
      <c r="J30" s="74"/>
      <c r="K30" s="74"/>
      <c r="L30" s="75" t="str">
        <f>IF(Menuiseries[[#This Row],[Couleur int.]]="","",IF(Menuiseries[[#This Row],[Couleur ext.]]=Menuiseries[[#This Row],[Couleur int.]],"Monocolore","Bicolore"))</f>
        <v/>
      </c>
      <c r="M30" s="74"/>
      <c r="N30" s="74"/>
      <c r="O30" s="74"/>
      <c r="P30" s="74"/>
      <c r="Q30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0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0" s="74"/>
      <c r="T30" s="74"/>
      <c r="U30" s="74"/>
      <c r="V30" s="74"/>
      <c r="W30" s="74"/>
      <c r="X30" s="74"/>
      <c r="Y30" s="74"/>
    </row>
    <row r="31" spans="1:25" x14ac:dyDescent="0.2">
      <c r="A31" s="70"/>
      <c r="B31" s="71"/>
      <c r="C31" s="71"/>
      <c r="D31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1" s="71"/>
      <c r="F31" s="72" t="str">
        <f>IF(Menuiseries[[#This Row],[Haut.]]="","",2.15-Menuiseries[[#This Row],[Haut.]])</f>
        <v/>
      </c>
      <c r="G31" s="71"/>
      <c r="H31" s="71"/>
      <c r="I31" s="71" t="str">
        <f>IF(Menuiseries[[#This Row],[Embrasure]]="Oui",Menuiseries[[#This Row],[Larg.]]+2*Menuiseries[[#This Row],[Haut.]],"")</f>
        <v/>
      </c>
      <c r="J31" s="74"/>
      <c r="K31" s="74"/>
      <c r="L31" s="75" t="str">
        <f>IF(Menuiseries[[#This Row],[Couleur int.]]="","",IF(Menuiseries[[#This Row],[Couleur ext.]]=Menuiseries[[#This Row],[Couleur int.]],"Monocolore","Bicolore"))</f>
        <v/>
      </c>
      <c r="M31" s="74"/>
      <c r="N31" s="74"/>
      <c r="O31" s="74"/>
      <c r="P31" s="74"/>
      <c r="Q31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1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1" s="74"/>
      <c r="T31" s="74"/>
      <c r="U31" s="74"/>
      <c r="V31" s="74"/>
      <c r="W31" s="74"/>
      <c r="X31" s="74"/>
      <c r="Y31" s="74"/>
    </row>
    <row r="32" spans="1:25" x14ac:dyDescent="0.2">
      <c r="A32" s="70"/>
      <c r="B32" s="71"/>
      <c r="C32" s="71"/>
      <c r="D32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2" s="71"/>
      <c r="F32" s="72" t="str">
        <f>IF(Menuiseries[[#This Row],[Haut.]]="","",2.15-Menuiseries[[#This Row],[Haut.]])</f>
        <v/>
      </c>
      <c r="G32" s="71"/>
      <c r="H32" s="71"/>
      <c r="I32" s="71" t="str">
        <f>IF(Menuiseries[[#This Row],[Embrasure]]="Oui",Menuiseries[[#This Row],[Larg.]]+2*Menuiseries[[#This Row],[Haut.]],"")</f>
        <v/>
      </c>
      <c r="J32" s="74"/>
      <c r="K32" s="74"/>
      <c r="L32" s="75" t="str">
        <f>IF(Menuiseries[[#This Row],[Couleur int.]]="","",IF(Menuiseries[[#This Row],[Couleur ext.]]=Menuiseries[[#This Row],[Couleur int.]],"Monocolore","Bicolore"))</f>
        <v/>
      </c>
      <c r="M32" s="74"/>
      <c r="N32" s="74"/>
      <c r="O32" s="74"/>
      <c r="P32" s="74"/>
      <c r="Q32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2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2" s="74"/>
      <c r="T32" s="74"/>
      <c r="U32" s="74"/>
      <c r="V32" s="74"/>
      <c r="W32" s="74"/>
      <c r="X32" s="74"/>
      <c r="Y32" s="74"/>
    </row>
    <row r="33" spans="1:25" x14ac:dyDescent="0.2">
      <c r="A33" s="70"/>
      <c r="B33" s="71"/>
      <c r="C33" s="71"/>
      <c r="D33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3" s="71"/>
      <c r="F33" s="72" t="str">
        <f>IF(Menuiseries[[#This Row],[Haut.]]="","",2.15-Menuiseries[[#This Row],[Haut.]])</f>
        <v/>
      </c>
      <c r="G33" s="71"/>
      <c r="H33" s="71"/>
      <c r="I33" s="71" t="str">
        <f>IF(Menuiseries[[#This Row],[Embrasure]]="Oui",Menuiseries[[#This Row],[Larg.]]+2*Menuiseries[[#This Row],[Haut.]],"")</f>
        <v/>
      </c>
      <c r="J33" s="74"/>
      <c r="K33" s="74"/>
      <c r="L33" s="75" t="str">
        <f>IF(Menuiseries[[#This Row],[Couleur int.]]="","",IF(Menuiseries[[#This Row],[Couleur ext.]]=Menuiseries[[#This Row],[Couleur int.]],"Monocolore","Bicolore"))</f>
        <v/>
      </c>
      <c r="M33" s="74"/>
      <c r="N33" s="74"/>
      <c r="O33" s="74"/>
      <c r="P33" s="74"/>
      <c r="Q33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3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3" s="74"/>
      <c r="T33" s="74"/>
      <c r="U33" s="74"/>
      <c r="V33" s="74"/>
      <c r="W33" s="74"/>
      <c r="X33" s="74"/>
      <c r="Y33" s="74"/>
    </row>
    <row r="34" spans="1:25" x14ac:dyDescent="0.2">
      <c r="A34" s="70"/>
      <c r="B34" s="71"/>
      <c r="C34" s="71"/>
      <c r="D34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4" s="71"/>
      <c r="F34" s="72" t="str">
        <f>IF(Menuiseries[[#This Row],[Haut.]]="","",2.15-Menuiseries[[#This Row],[Haut.]])</f>
        <v/>
      </c>
      <c r="G34" s="71"/>
      <c r="H34" s="71"/>
      <c r="I34" s="71" t="str">
        <f>IF(Menuiseries[[#This Row],[Embrasure]]="Oui",Menuiseries[[#This Row],[Larg.]]+2*Menuiseries[[#This Row],[Haut.]],"")</f>
        <v/>
      </c>
      <c r="J34" s="74"/>
      <c r="K34" s="74"/>
      <c r="L34" s="75" t="str">
        <f>IF(Menuiseries[[#This Row],[Couleur int.]]="","",IF(Menuiseries[[#This Row],[Couleur ext.]]=Menuiseries[[#This Row],[Couleur int.]],"Monocolore","Bicolore"))</f>
        <v/>
      </c>
      <c r="M34" s="74"/>
      <c r="N34" s="74"/>
      <c r="O34" s="74"/>
      <c r="P34" s="74"/>
      <c r="Q34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4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4" s="74"/>
      <c r="T34" s="74"/>
      <c r="U34" s="74"/>
      <c r="V34" s="74"/>
      <c r="W34" s="74"/>
      <c r="X34" s="74"/>
      <c r="Y34" s="74"/>
    </row>
    <row r="35" spans="1:25" x14ac:dyDescent="0.2">
      <c r="A35" s="70"/>
      <c r="B35" s="71"/>
      <c r="C35" s="71"/>
      <c r="D35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5" s="71"/>
      <c r="F35" s="72" t="str">
        <f>IF(Menuiseries[[#This Row],[Haut.]]="","",2.15-Menuiseries[[#This Row],[Haut.]])</f>
        <v/>
      </c>
      <c r="G35" s="71"/>
      <c r="H35" s="71"/>
      <c r="I35" s="71" t="str">
        <f>IF(Menuiseries[[#This Row],[Embrasure]]="Oui",Menuiseries[[#This Row],[Larg.]]+2*Menuiseries[[#This Row],[Haut.]],"")</f>
        <v/>
      </c>
      <c r="J35" s="74"/>
      <c r="K35" s="74"/>
      <c r="L35" s="75" t="str">
        <f>IF(Menuiseries[[#This Row],[Couleur int.]]="","",IF(Menuiseries[[#This Row],[Couleur ext.]]=Menuiseries[[#This Row],[Couleur int.]],"Monocolore","Bicolore"))</f>
        <v/>
      </c>
      <c r="M35" s="74"/>
      <c r="N35" s="74"/>
      <c r="O35" s="74"/>
      <c r="P35" s="74"/>
      <c r="Q35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5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5" s="74"/>
      <c r="T35" s="74"/>
      <c r="U35" s="74"/>
      <c r="V35" s="74"/>
      <c r="W35" s="74"/>
      <c r="X35" s="74"/>
      <c r="Y35" s="74"/>
    </row>
    <row r="36" spans="1:25" x14ac:dyDescent="0.2">
      <c r="A36" s="70"/>
      <c r="B36" s="71"/>
      <c r="C36" s="71"/>
      <c r="D36" s="71">
        <f>IF(Menuiseries[[#This Row],[N.H.]]="Oui",Menuiseries[[#This Row],[Larg.]]*Menuiseries[[#This Row],[Haut.]],IF(Menuiseries[[#This Row],[N.H.]]="",Menuiseries[[#This Row],[Larg.]]*Menuiseries[[#This Row],[Haut.]],""))</f>
        <v>0</v>
      </c>
      <c r="E36" s="71"/>
      <c r="F36" s="72" t="str">
        <f>IF(Menuiseries[[#This Row],[Haut.]]="","",2.15-Menuiseries[[#This Row],[Haut.]])</f>
        <v/>
      </c>
      <c r="G36" s="71"/>
      <c r="H36" s="71"/>
      <c r="I36" s="71" t="str">
        <f>IF(Menuiseries[[#This Row],[Embrasure]]="Oui",Menuiseries[[#This Row],[Larg.]]+2*Menuiseries[[#This Row],[Haut.]],"")</f>
        <v/>
      </c>
      <c r="J36" s="74"/>
      <c r="K36" s="74"/>
      <c r="L36" s="75" t="str">
        <f>IF(Menuiseries[[#This Row],[Couleur int.]]="","",IF(Menuiseries[[#This Row],[Couleur ext.]]=Menuiseries[[#This Row],[Couleur int.]],"Monocolore","Bicolore"))</f>
        <v/>
      </c>
      <c r="M36" s="74"/>
      <c r="N36" s="74"/>
      <c r="O36" s="74"/>
      <c r="P36" s="74"/>
      <c r="Q36" s="74" t="str">
        <f>IF(Menuiseries[[#This Row],[Fermeture]]="VR traditionnel",2*Menuiseries[[#This Row],[Haut.]],IF(Menuiseries[[#This Row],[Fermeture]]="BSO",2*Menuiseries[[#This Row],[Haut.]],IF(Menuiseries[[#This Row],[Fermeture]]="","",Menuiseries[[#This Row],[Larg.]]+2*Menuiseries[[#This Row],[Haut.]])))</f>
        <v/>
      </c>
      <c r="R36" s="74" t="str">
        <f>IF(Menuiseries[[#This Row],[Fermeture]]="VR traditionnel",2*Menuiseries[[#This Row],[Haut.]],IF(Menuiseries[[#This Row],[Fermeture]]="","",IF(Menuiseries[[#This Row],[Fermeture]]="Volets battants",Menuiseries[[#This Row],[Larg.]]+2*Menuiseries[[#This Row],[Haut.]],IF(Menuiseries[[#This Row],[Fermeture]]="- - -",Menuiseries[[#This Row],[Larg.]]+2*Menuiseries[[#This Row],[Haut.]],2*Menuiseries[[#This Row],[Haut.]]))))</f>
        <v/>
      </c>
      <c r="S36" s="74"/>
      <c r="T36" s="74"/>
      <c r="U36" s="74"/>
      <c r="V36" s="74"/>
      <c r="W36" s="74"/>
      <c r="X36" s="74"/>
      <c r="Y36" s="74"/>
    </row>
    <row r="37" spans="1:25" x14ac:dyDescent="0.2">
      <c r="A37" s="58"/>
      <c r="B37" s="59"/>
      <c r="C37" s="59"/>
      <c r="D37" s="59"/>
      <c r="E37" s="59"/>
      <c r="F37" s="59"/>
      <c r="G37" s="59"/>
      <c r="H37" s="59"/>
      <c r="I37" s="59"/>
    </row>
  </sheetData>
  <dataValidations count="26">
    <dataValidation type="list" allowBlank="1" showInputMessage="1" showErrorMessage="1" sqref="K43">
      <formula1>vitrages</formula1>
    </dataValidation>
    <dataValidation type="list" allowBlank="1" showInputMessage="1" showErrorMessage="1" sqref="H37:I37">
      <formula1>"OUI,NON"</formula1>
    </dataValidation>
    <dataValidation type="list" allowBlank="1" showInputMessage="1" showErrorMessage="1" sqref="G37">
      <formula1>"Nord,Nord-Est,Est,Sud-Est,Sud,Sud-Ouest,Ouest,Nord-Ouest"</formula1>
    </dataValidation>
    <dataValidation type="list" allowBlank="1" showInputMessage="1" showErrorMessage="1" sqref="Y37">
      <formula1>"- - -,Mortaise pour entrée d'air,découpe seule + manchon en traversée de doublage"</formula1>
    </dataValidation>
    <dataValidation type="list" allowBlank="1" showInputMessage="1" showErrorMessage="1" sqref="V37">
      <formula1>"Lames PVC,Lames Aluminium"</formula1>
    </dataValidation>
    <dataValidation type="list" allowBlank="1" showInputMessage="1" showErrorMessage="1" sqref="U37">
      <formula1>"Somfy Smoove Origin IO,"</formula1>
    </dataValidation>
    <dataValidation type="list" allowBlank="1" showInputMessage="1" showErrorMessage="1" sqref="T37">
      <formula1>"Filaire Bubendorff,Radio Bubendorff,Radio Somfy RTS,Radio Somfy IO,Radio X3D"</formula1>
    </dataValidation>
    <dataValidation type="list" allowBlank="1" showInputMessage="1" showErrorMessage="1" sqref="S37">
      <formula1>"Coffre L béton,Coffre L terre cuite,Coffre tunnel terre cuite,Coffre tunnel fibre"</formula1>
    </dataValidation>
    <dataValidation type="list" allowBlank="1" showInputMessage="1" showErrorMessage="1" sqref="P37:R37">
      <formula1>"- - -,Bloc-baie demi-linteau,Bloc-baie BSO,VR traditionnel,BSO,Volet coulissant"</formula1>
    </dataValidation>
    <dataValidation type="list" showInputMessage="1" showErrorMessage="1" errorTitle="Erreur de saisie" error="Le vitrage choisi n'est pas une référence K-Line !" sqref="O37">
      <formula1>"4 / 16 Argon / TBE 4,4 / 20 Argon / TBE 4,44-2 / 18 Argon / TBE 4"</formula1>
    </dataValidation>
    <dataValidation type="list" showInputMessage="1" showErrorMessage="1" errorTitle="Erreur de saisie" error="La couleur choisie n'est pas une référence K-Line !" sqref="W37:X37 M37:N37">
      <formula1>"RAL 9016,RAL 7016,RAL 9005,RAL 1015,RAL 5003,RAL 5023,RAL 6021,B 390 S,Anodisé argent,RAL 3004,RAL 6005,RAL 9007,RAL 8011,9006 Galet,Noir 2100,Gris 2900"</formula1>
    </dataValidation>
    <dataValidation type="list" allowBlank="1" showInputMessage="1" showErrorMessage="1" sqref="L37">
      <formula1>"Monocolore,Bicolore"</formula1>
    </dataValidation>
    <dataValidation type="list" allowBlank="1" showInputMessage="1" showErrorMessage="1" sqref="K37">
      <formula1>"80,100,120,140,160,180,200"</formula1>
    </dataValidation>
    <dataValidation type="list" allowBlank="1" showInputMessage="1" showErrorMessage="1" errorTitle="Erreur de saisie" error="Type d'ouverture inconnu !" sqref="J37">
      <formula1>"FA1,FA2,FS1,FS2,OB1,OB2,BC2R 2V,BC2R 4V,BC3R 3V,GE1R 1V,GE1R 2V,GE2R 2V,GE2R 4V,FIXE"</formula1>
    </dataValidation>
    <dataValidation type="list" allowBlank="1" showInputMessage="1" showErrorMessage="1" sqref="G2:G36">
      <formula1>Orientation</formula1>
    </dataValidation>
    <dataValidation type="list" allowBlank="1" showInputMessage="1" showErrorMessage="1" sqref="E2:E36 H2:H36">
      <formula1>Choix</formula1>
    </dataValidation>
    <dataValidation type="list" allowBlank="1" showInputMessage="1" showErrorMessage="1" errorTitle="Erreur de saisie" error="Type d'ouverture inconnu !" sqref="J2:J36">
      <formula1>Famille</formula1>
    </dataValidation>
    <dataValidation type="list" allowBlank="1" showInputMessage="1" showErrorMessage="1" sqref="K2:K36">
      <formula1>Dormant</formula1>
    </dataValidation>
    <dataValidation type="list" showInputMessage="1" showErrorMessage="1" errorTitle="Erreur de saisie" error="La couleur choisie n'est pas une référence K-Line !" sqref="M2:N36 W2:X36">
      <formula1>Couleur</formula1>
    </dataValidation>
    <dataValidation type="list" showInputMessage="1" showErrorMessage="1" errorTitle="Erreur de saisie" error="Le vitrage choisi n'est pas une référence K-Line !" sqref="O2:O36">
      <formula1>Vitrage</formula1>
    </dataValidation>
    <dataValidation type="list" allowBlank="1" showInputMessage="1" showErrorMessage="1" sqref="P2:P36">
      <formula1>Fermeture</formula1>
    </dataValidation>
    <dataValidation type="list" allowBlank="1" showInputMessage="1" showErrorMessage="1" sqref="S2:S36">
      <formula1>Coffre</formula1>
    </dataValidation>
    <dataValidation type="list" allowBlank="1" showInputMessage="1" showErrorMessage="1" sqref="T2:T36">
      <formula1>Moteur</formula1>
    </dataValidation>
    <dataValidation type="list" allowBlank="1" showInputMessage="1" showErrorMessage="1" sqref="U2:U36">
      <formula1>Commande</formula1>
    </dataValidation>
    <dataValidation type="list" allowBlank="1" showInputMessage="1" showErrorMessage="1" sqref="V2:V36">
      <formula1>Tablier</formula1>
    </dataValidation>
    <dataValidation type="list" allowBlank="1" showInputMessage="1" showErrorMessage="1" sqref="Y2:Y36">
      <formula1>Entreedair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73"/>
  <sheetViews>
    <sheetView tabSelected="1" workbookViewId="0">
      <selection activeCell="B39" sqref="B39"/>
    </sheetView>
  </sheetViews>
  <sheetFormatPr baseColWidth="10" defaultRowHeight="12.75" x14ac:dyDescent="0.2"/>
  <cols>
    <col min="1" max="1" width="12.42578125" style="79" bestFit="1" customWidth="1"/>
    <col min="2" max="2" width="21.42578125" style="79" bestFit="1" customWidth="1"/>
    <col min="3" max="3" width="12.28515625" style="79" bestFit="1" customWidth="1"/>
    <col min="4" max="4" width="22" style="79" bestFit="1" customWidth="1"/>
    <col min="5" max="5" width="12.85546875" style="79" bestFit="1" customWidth="1"/>
    <col min="6" max="6" width="24.140625" style="79" bestFit="1" customWidth="1"/>
    <col min="7" max="7" width="20.5703125" style="79" bestFit="1" customWidth="1"/>
    <col min="8" max="8" width="28.42578125" style="79" bestFit="1" customWidth="1"/>
    <col min="9" max="9" width="17.85546875" style="79" bestFit="1" customWidth="1"/>
    <col min="10" max="10" width="27" style="79" bestFit="1" customWidth="1"/>
    <col min="11" max="11" width="27" style="79" customWidth="1"/>
    <col min="12" max="12" width="29.7109375" style="79" bestFit="1" customWidth="1"/>
    <col min="13" max="13" width="29.7109375" style="79" customWidth="1"/>
    <col min="14" max="14" width="30.42578125" style="79" bestFit="1" customWidth="1"/>
    <col min="15" max="15" width="10.42578125" style="79" bestFit="1" customWidth="1"/>
    <col min="16" max="16" width="8.85546875" style="79" bestFit="1" customWidth="1"/>
    <col min="17" max="17" width="12.85546875" style="79" bestFit="1" customWidth="1"/>
    <col min="18" max="18" width="15.7109375" style="79" bestFit="1" customWidth="1"/>
    <col min="19" max="19" width="9.7109375" style="79" bestFit="1" customWidth="1"/>
    <col min="20" max="16384" width="11.42578125" style="79"/>
  </cols>
  <sheetData>
    <row r="1" spans="1:15" x14ac:dyDescent="0.2">
      <c r="A1" s="86" t="s">
        <v>428</v>
      </c>
      <c r="B1" s="91" t="s">
        <v>263</v>
      </c>
      <c r="C1" s="91" t="s">
        <v>436</v>
      </c>
      <c r="D1" s="91" t="s">
        <v>264</v>
      </c>
      <c r="E1" s="91" t="s">
        <v>437</v>
      </c>
      <c r="F1" s="92" t="s">
        <v>265</v>
      </c>
      <c r="G1" s="92" t="s">
        <v>431</v>
      </c>
      <c r="H1" s="92" t="s">
        <v>266</v>
      </c>
      <c r="I1" s="92" t="s">
        <v>432</v>
      </c>
      <c r="J1" s="92" t="s">
        <v>267</v>
      </c>
      <c r="K1" s="92" t="s">
        <v>433</v>
      </c>
      <c r="L1" s="92" t="s">
        <v>268</v>
      </c>
      <c r="M1" s="92" t="s">
        <v>434</v>
      </c>
      <c r="N1" s="92" t="s">
        <v>392</v>
      </c>
      <c r="O1" s="99" t="s">
        <v>435</v>
      </c>
    </row>
    <row r="2" spans="1:15" x14ac:dyDescent="0.2">
      <c r="A2" s="88" t="str">
        <f t="array" ref="A2">INDEX(Menuiseries[[#All],[Larg.]],MIN(IF(COUNTIF(A$1:A1,Menuiseries[Larg.])=0,ROW(Menuiseries[Larg.]))))&amp;""</f>
        <v/>
      </c>
      <c r="B2" s="93" t="str">
        <f>COUNTIFS(Menuiseries[Larg.],$A2,Menuiseries[All.],"=0")&amp;" seuil(s) de L = "&amp;TEXT($A2,"##0,00")&amp;" ml"</f>
        <v>0 seuil(s) de L =  ml</v>
      </c>
      <c r="C2" s="83">
        <f>SUMIFS(Menuiseries[Larg.],Menuiseries[All.],"=0",Menuiseries[Larg.],$A2)</f>
        <v>0</v>
      </c>
      <c r="D2" s="97" t="str">
        <f>COUNTIFS(Menuiseries[Larg.],$A2,Menuiseries[All.],"&gt;0")&amp;" appui(s) de L = "&amp;TEXT($A2,"##0,00")&amp;" ml"</f>
        <v>0 appui(s) de L =  ml</v>
      </c>
      <c r="E2" s="83">
        <f>SUMIFS(Menuiseries[Larg.],Menuiseries[All.],"&gt;0",Menuiseries[Larg.],$A2)</f>
        <v>0</v>
      </c>
      <c r="F2" s="97" t="str">
        <f>COUNTIFS(Menuiseries[Larg.],$A2,Menuiseries[Coffre],"Coffre L béton")&amp;" coffre(s) de L = "&amp;TEXT($A2,"##0,00")&amp;" ml"</f>
        <v>0 coffre(s) de L =  ml</v>
      </c>
      <c r="G2" s="83">
        <f>COUNTIFS(Menuiseries[Larg.],$A2,Menuiseries[Coffre],"Coffre L béton")*SUMIFS(Menuiseries[Larg.],Menuiseries[Coffre],"Coffre L béton",Menuiseries[Larg.],$A2)</f>
        <v>0</v>
      </c>
      <c r="H2" s="97" t="str">
        <f>COUNTIFS(Menuiseries[Larg.],$A2,Menuiseries[Coffre],"Coffre L terre cuite")&amp;" coffre(s) de L = "&amp;TEXT($A2,"##0,00")&amp;" ml"</f>
        <v>0 coffre(s) de L =  ml</v>
      </c>
      <c r="I2" s="83">
        <f>COUNTIFS(Menuiseries[Larg.],$A2,Menuiseries[Coffre],"Coffre L terre cuite")*SUMIFS(Menuiseries[Larg.],Menuiseries[Coffre],"Coffre L terrecuite",Menuiseries[Larg.],$A2)</f>
        <v>0</v>
      </c>
      <c r="J2" s="97" t="str">
        <f>COUNTIFS(Menuiseries[Larg.],$A2,Menuiseries[Coffre],"Coffre tunnel terre cuite")&amp;" coffre(s) de L = "&amp;TEXT($A2,"##0,00")&amp;" ml"</f>
        <v>0 coffre(s) de L =  ml</v>
      </c>
      <c r="K2" s="83">
        <f>COUNTIFS(Menuiseries[Larg.],$A2,Menuiseries[Coffre],"Coffre tunnel terre cuite")*SUMIFS(Menuiseries[Larg.],Menuiseries[Coffre],"Coffre tunnel terrecuite",Menuiseries[Larg.],$A2)</f>
        <v>0</v>
      </c>
      <c r="L2" s="97" t="str">
        <f>COUNTIFS(Menuiseries[Larg.],$A2,Menuiseries[Coffre],"Coffre tunnel fibre")&amp;" coffre(s) de L = "&amp;TEXT($A2,"##0,00")&amp;" ml"</f>
        <v>0 coffre(s) de L =  ml</v>
      </c>
      <c r="M2" s="83">
        <f>COUNTIFS(Menuiseries[Larg.],$A2,Menuiseries[Coffre],"Coffre tunnel fibre")*SUMIFS(Menuiseries[Larg.],Menuiseries[Coffre],"Coffre tunnel fibre",Menuiseries[Larg.],$A2)</f>
        <v>0</v>
      </c>
      <c r="N2" s="97" t="str">
        <f>COUNTIFS(Menuiseries[Larg.],$A2,Menuiseries[Coffre],"Réservation pour BSO")&amp;" coffre(s) de L = "&amp;TEXT($A2,"##0,00")&amp;" ml"</f>
        <v>0 coffre(s) de L =  ml</v>
      </c>
      <c r="O2" s="83">
        <f>COUNTIFS(Menuiseries[Larg.],$A2,Menuiseries[Coffre],"Réservation pour BSO")*SUMIFS(Menuiseries[Larg.],Menuiseries[Coffre],"Réservation pour BSO",Menuiseries[Larg.],$A2)</f>
        <v>0</v>
      </c>
    </row>
    <row r="3" spans="1:15" x14ac:dyDescent="0.2">
      <c r="A3" s="89" t="str">
        <f t="array" ref="A3">INDEX(Menuiseries[[#All],[Larg.]],MIN(IF(COUNTIF(A$1:A2,Menuiseries[Larg.])=0,ROW(Menuiseries[Larg.]))))&amp;""</f>
        <v/>
      </c>
      <c r="B3" s="94" t="str">
        <f>COUNTIFS(Menuiseries[Larg.],$A3,Menuiseries[All.],"=0")&amp;" seuil(s) de L = "&amp;TEXT($A3,"##0,00")&amp;" ml"</f>
        <v>0 seuil(s) de L =  ml</v>
      </c>
      <c r="C3" s="84">
        <f>SUMIFS(Menuiseries[Larg.],Menuiseries[All.],"=0",Menuiseries[Larg.],$A3)</f>
        <v>0</v>
      </c>
      <c r="D3" s="96" t="str">
        <f>COUNTIFS(Menuiseries[Larg.],$A3,Menuiseries[All.],"&gt;0")&amp;" appui(s) de L = "&amp;TEXT($A3,"##0,00")&amp;" ml"</f>
        <v>0 appui(s) de L =  ml</v>
      </c>
      <c r="E3" s="84">
        <f>SUMIFS(Menuiseries[Larg.],Menuiseries[All.],"&gt;0",Menuiseries[Larg.],$A3)</f>
        <v>0</v>
      </c>
      <c r="F3" s="96" t="str">
        <f>COUNTIFS(Menuiseries[Larg.],$A3,Menuiseries[Coffre],"Coffre L béton")&amp;" coffre(s) de L = "&amp;TEXT($A3,"##0,00")&amp;" ml"</f>
        <v>0 coffre(s) de L =  ml</v>
      </c>
      <c r="G3" s="84">
        <f>COUNTIFS(Menuiseries[Larg.],$A3,Menuiseries[Coffre],"Coffre L béton")*SUMIFS(Menuiseries[Larg.],Menuiseries[Coffre],"Coffre L béton",Menuiseries[Larg.],$A3)</f>
        <v>0</v>
      </c>
      <c r="H3" s="96" t="str">
        <f>COUNTIFS(Menuiseries[Larg.],$A3,Menuiseries[Coffre],"Coffre L terre cuite")&amp;" coffre(s) de L = "&amp;TEXT($A3,"##0,00")&amp;" ml"</f>
        <v>0 coffre(s) de L =  ml</v>
      </c>
      <c r="I3" s="84">
        <f>COUNTIFS(Menuiseries[Larg.],$A3,Menuiseries[Coffre],"Coffre L terre cuite")*SUMIFS(Menuiseries[Larg.],Menuiseries[Coffre],"Coffre L terrecuite",Menuiseries[Larg.],$A3)</f>
        <v>0</v>
      </c>
      <c r="J3" s="96" t="str">
        <f>COUNTIFS(Menuiseries[Larg.],$A3,Menuiseries[Coffre],"Coffre tunnel terre cuite")&amp;" coffre(s) de L = "&amp;TEXT($A3,"##0,00")&amp;" ml"</f>
        <v>0 coffre(s) de L =  ml</v>
      </c>
      <c r="K3" s="84">
        <f>COUNTIFS(Menuiseries[Larg.],$A3,Menuiseries[Coffre],"Coffre tunnel terre cuite")*SUMIFS(Menuiseries[Larg.],Menuiseries[Coffre],"Coffre tunnel terrecuite",Menuiseries[Larg.],$A3)</f>
        <v>0</v>
      </c>
      <c r="L3" s="96" t="str">
        <f>COUNTIFS(Menuiseries[Larg.],$A3,Menuiseries[Coffre],"Coffre tunnel fibre")&amp;" coffre(s) de L = "&amp;TEXT($A3,"##0,00")&amp;" ml"</f>
        <v>0 coffre(s) de L =  ml</v>
      </c>
      <c r="M3" s="84">
        <f>COUNTIFS(Menuiseries[Larg.],$A3,Menuiseries[Coffre],"Coffre tunnel fibre")*SUMIFS(Menuiseries[Larg.],Menuiseries[Coffre],"Coffre tunnel fibre",Menuiseries[Larg.],$A3)</f>
        <v>0</v>
      </c>
      <c r="N3" s="96" t="str">
        <f>COUNTIFS(Menuiseries[Larg.],$A3,Menuiseries[Coffre],"Réservation pour BSO")&amp;" coffre(s) de L = "&amp;TEXT($A3,"##0,00")&amp;" ml"</f>
        <v>0 coffre(s) de L =  ml</v>
      </c>
      <c r="O3" s="84">
        <f>COUNTIFS(Menuiseries[Larg.],$A3,Menuiseries[Coffre],"Réservation pour BSO")*SUMIFS(Menuiseries[Larg.],Menuiseries[Coffre],"Réservation pour BSO",Menuiseries[Larg.],$A3)</f>
        <v>0</v>
      </c>
    </row>
    <row r="4" spans="1:15" x14ac:dyDescent="0.2">
      <c r="A4" s="89" t="str">
        <f t="array" ref="A4">INDEX(Menuiseries[[#All],[Larg.]],MIN(IF(COUNTIF(A$1:A3,Menuiseries[Larg.])=0,ROW(Menuiseries[Larg.]))))&amp;""</f>
        <v/>
      </c>
      <c r="B4" s="94" t="str">
        <f>COUNTIFS(Menuiseries[Larg.],$A4,Menuiseries[All.],"=0")&amp;" seuil(s) de L = "&amp;TEXT($A4,"##0,00")&amp;" ml"</f>
        <v>0 seuil(s) de L =  ml</v>
      </c>
      <c r="C4" s="84">
        <f>SUMIFS(Menuiseries[Larg.],Menuiseries[All.],"=0",Menuiseries[Larg.],$A4)</f>
        <v>0</v>
      </c>
      <c r="D4" s="96" t="str">
        <f>COUNTIFS(Menuiseries[Larg.],$A4,Menuiseries[All.],"&gt;0")&amp;" appui(s) de L = "&amp;TEXT($A4,"##0,00")&amp;" ml"</f>
        <v>0 appui(s) de L =  ml</v>
      </c>
      <c r="E4" s="84">
        <f>SUMIFS(Menuiseries[Larg.],Menuiseries[All.],"&gt;0",Menuiseries[Larg.],$A4)</f>
        <v>0</v>
      </c>
      <c r="F4" s="96" t="str">
        <f>COUNTIFS(Menuiseries[Larg.],$A4,Menuiseries[Coffre],"Coffre L béton")&amp;" coffre(s) de L = "&amp;TEXT($A4,"##0,00")&amp;" ml"</f>
        <v>0 coffre(s) de L =  ml</v>
      </c>
      <c r="G4" s="84">
        <f>COUNTIFS(Menuiseries[Larg.],$A4,Menuiseries[Coffre],"Coffre L béton")*SUMIFS(Menuiseries[Larg.],Menuiseries[Coffre],"Coffre L béton",Menuiseries[Larg.],$A4)</f>
        <v>0</v>
      </c>
      <c r="H4" s="96" t="str">
        <f>COUNTIFS(Menuiseries[Larg.],$A4,Menuiseries[Coffre],"Coffre L terre cuite")&amp;" coffre(s) de L = "&amp;TEXT($A4,"##0,00")&amp;" ml"</f>
        <v>0 coffre(s) de L =  ml</v>
      </c>
      <c r="I4" s="84">
        <f>COUNTIFS(Menuiseries[Larg.],$A4,Menuiseries[Coffre],"Coffre L terre cuite")*SUMIFS(Menuiseries[Larg.],Menuiseries[Coffre],"Coffre L terrecuite",Menuiseries[Larg.],$A4)</f>
        <v>0</v>
      </c>
      <c r="J4" s="96" t="str">
        <f>COUNTIFS(Menuiseries[Larg.],$A4,Menuiseries[Coffre],"Coffre tunnel terre cuite")&amp;" coffre(s) de L = "&amp;TEXT($A4,"##0,00")&amp;" ml"</f>
        <v>0 coffre(s) de L =  ml</v>
      </c>
      <c r="K4" s="84">
        <f>COUNTIFS(Menuiseries[Larg.],$A4,Menuiseries[Coffre],"Coffre tunnel terre cuite")*SUMIFS(Menuiseries[Larg.],Menuiseries[Coffre],"Coffre tunnel terrecuite",Menuiseries[Larg.],$A4)</f>
        <v>0</v>
      </c>
      <c r="L4" s="96" t="str">
        <f>COUNTIFS(Menuiseries[Larg.],$A4,Menuiseries[Coffre],"Coffre tunnel fibre")&amp;" coffre(s) de L = "&amp;TEXT($A4,"##0,00")&amp;" ml"</f>
        <v>0 coffre(s) de L =  ml</v>
      </c>
      <c r="M4" s="84">
        <f>COUNTIFS(Menuiseries[Larg.],$A4,Menuiseries[Coffre],"Coffre tunnel fibre")*SUMIFS(Menuiseries[Larg.],Menuiseries[Coffre],"Coffre tunnel fibre",Menuiseries[Larg.],$A4)</f>
        <v>0</v>
      </c>
      <c r="N4" s="96" t="str">
        <f>COUNTIFS(Menuiseries[Larg.],$A4,Menuiseries[Coffre],"Réservation pour BSO")&amp;" coffre(s) de L = "&amp;TEXT($A4,"##0,00")&amp;" ml"</f>
        <v>0 coffre(s) de L =  ml</v>
      </c>
      <c r="O4" s="84">
        <f>COUNTIFS(Menuiseries[Larg.],$A4,Menuiseries[Coffre],"Réservation pour BSO")*SUMIFS(Menuiseries[Larg.],Menuiseries[Coffre],"Réservation pour BSO",Menuiseries[Larg.],$A4)</f>
        <v>0</v>
      </c>
    </row>
    <row r="5" spans="1:15" x14ac:dyDescent="0.2">
      <c r="A5" s="89" t="str">
        <f t="array" ref="A5">INDEX(Menuiseries[[#All],[Larg.]],MIN(IF(COUNTIF(A$1:A4,Menuiseries[Larg.])=0,ROW(Menuiseries[Larg.]))))&amp;""</f>
        <v/>
      </c>
      <c r="B5" s="94" t="str">
        <f>COUNTIFS(Menuiseries[Larg.],$A5,Menuiseries[All.],"=0")&amp;" seuil(s) de L = "&amp;TEXT($A5,"##0,00")&amp;" ml"</f>
        <v>0 seuil(s) de L =  ml</v>
      </c>
      <c r="C5" s="84">
        <f>SUMIFS(Menuiseries[Larg.],Menuiseries[All.],"=0",Menuiseries[Larg.],$A5)</f>
        <v>0</v>
      </c>
      <c r="D5" s="96" t="str">
        <f>COUNTIFS(Menuiseries[Larg.],$A5,Menuiseries[All.],"&gt;0")&amp;" appui(s) de L = "&amp;TEXT($A5,"##0,00")&amp;" ml"</f>
        <v>0 appui(s) de L =  ml</v>
      </c>
      <c r="E5" s="84">
        <f>SUMIFS(Menuiseries[Larg.],Menuiseries[All.],"&gt;0",Menuiseries[Larg.],$A5)</f>
        <v>0</v>
      </c>
      <c r="F5" s="96" t="str">
        <f>COUNTIFS(Menuiseries[Larg.],$A5,Menuiseries[Coffre],"Coffre L béton")&amp;" coffre(s) de L = "&amp;TEXT($A5,"##0,00")&amp;" ml"</f>
        <v>0 coffre(s) de L =  ml</v>
      </c>
      <c r="G5" s="84">
        <f>COUNTIFS(Menuiseries[Larg.],$A5,Menuiseries[Coffre],"Coffre L béton")*SUMIFS(Menuiseries[Larg.],Menuiseries[Coffre],"Coffre L béton",Menuiseries[Larg.],$A5)</f>
        <v>0</v>
      </c>
      <c r="H5" s="96" t="str">
        <f>COUNTIFS(Menuiseries[Larg.],$A5,Menuiseries[Coffre],"Coffre L terre cuite")&amp;" coffre(s) de L = "&amp;TEXT($A5,"##0,00")&amp;" ml"</f>
        <v>0 coffre(s) de L =  ml</v>
      </c>
      <c r="I5" s="84">
        <f>COUNTIFS(Menuiseries[Larg.],$A5,Menuiseries[Coffre],"Coffre L terre cuite")*SUMIFS(Menuiseries[Larg.],Menuiseries[Coffre],"Coffre L terrecuite",Menuiseries[Larg.],$A5)</f>
        <v>0</v>
      </c>
      <c r="J5" s="96" t="str">
        <f>COUNTIFS(Menuiseries[Larg.],$A5,Menuiseries[Coffre],"Coffre tunnel terre cuite")&amp;" coffre(s) de L = "&amp;TEXT($A5,"##0,00")&amp;" ml"</f>
        <v>0 coffre(s) de L =  ml</v>
      </c>
      <c r="K5" s="84">
        <f>COUNTIFS(Menuiseries[Larg.],$A5,Menuiseries[Coffre],"Coffre tunnel terre cuite")*SUMIFS(Menuiseries[Larg.],Menuiseries[Coffre],"Coffre tunnel terrecuite",Menuiseries[Larg.],$A5)</f>
        <v>0</v>
      </c>
      <c r="L5" s="96" t="str">
        <f>COUNTIFS(Menuiseries[Larg.],$A5,Menuiseries[Coffre],"Coffre tunnel fibre")&amp;" coffre(s) de L = "&amp;TEXT($A5,"##0,00")&amp;" ml"</f>
        <v>0 coffre(s) de L =  ml</v>
      </c>
      <c r="M5" s="84">
        <f>COUNTIFS(Menuiseries[Larg.],$A5,Menuiseries[Coffre],"Coffre tunnel fibre")*SUMIFS(Menuiseries[Larg.],Menuiseries[Coffre],"Coffre tunnel fibre",Menuiseries[Larg.],$A5)</f>
        <v>0</v>
      </c>
      <c r="N5" s="96" t="str">
        <f>COUNTIFS(Menuiseries[Larg.],$A5,Menuiseries[Coffre],"Réservation pour BSO")&amp;" coffre(s) de L = "&amp;TEXT($A5,"##0,00")&amp;" ml"</f>
        <v>0 coffre(s) de L =  ml</v>
      </c>
      <c r="O5" s="84">
        <f>COUNTIFS(Menuiseries[Larg.],$A5,Menuiseries[Coffre],"Réservation pour BSO")*SUMIFS(Menuiseries[Larg.],Menuiseries[Coffre],"Réservation pour BSO",Menuiseries[Larg.],$A5)</f>
        <v>0</v>
      </c>
    </row>
    <row r="6" spans="1:15" x14ac:dyDescent="0.2">
      <c r="A6" s="89" t="str">
        <f t="array" ref="A6">INDEX(Menuiseries[[#All],[Larg.]],MIN(IF(COUNTIF(A$1:A5,Menuiseries[Larg.])=0,ROW(Menuiseries[Larg.]))))&amp;""</f>
        <v/>
      </c>
      <c r="B6" s="94" t="str">
        <f>COUNTIFS(Menuiseries[Larg.],$A6,Menuiseries[All.],"=0")&amp;" seuil(s) de L = "&amp;TEXT($A6,"##0,00")&amp;" ml"</f>
        <v>0 seuil(s) de L =  ml</v>
      </c>
      <c r="C6" s="84">
        <f>SUMIFS(Menuiseries[Larg.],Menuiseries[All.],"=0",Menuiseries[Larg.],$A6)</f>
        <v>0</v>
      </c>
      <c r="D6" s="96" t="str">
        <f>COUNTIFS(Menuiseries[Larg.],$A6,Menuiseries[All.],"&gt;0")&amp;" appui(s) de L = "&amp;TEXT($A6,"##0,00")&amp;" ml"</f>
        <v>0 appui(s) de L =  ml</v>
      </c>
      <c r="E6" s="84">
        <f>SUMIFS(Menuiseries[Larg.],Menuiseries[All.],"&gt;0",Menuiseries[Larg.],$A6)</f>
        <v>0</v>
      </c>
      <c r="F6" s="96" t="str">
        <f>COUNTIFS(Menuiseries[Larg.],$A6,Menuiseries[Coffre],"Coffre L béton")&amp;" coffre(s) de L = "&amp;TEXT($A6,"##0,00")&amp;" ml"</f>
        <v>0 coffre(s) de L =  ml</v>
      </c>
      <c r="G6" s="84">
        <f>COUNTIFS(Menuiseries[Larg.],$A6,Menuiseries[Coffre],"Coffre L béton")*SUMIFS(Menuiseries[Larg.],Menuiseries[Coffre],"Coffre L béton",Menuiseries[Larg.],$A6)</f>
        <v>0</v>
      </c>
      <c r="H6" s="96" t="str">
        <f>COUNTIFS(Menuiseries[Larg.],$A6,Menuiseries[Coffre],"Coffre L terre cuite")&amp;" coffre(s) de L = "&amp;TEXT($A6,"##0,00")&amp;" ml"</f>
        <v>0 coffre(s) de L =  ml</v>
      </c>
      <c r="I6" s="84">
        <f>COUNTIFS(Menuiseries[Larg.],$A6,Menuiseries[Coffre],"Coffre L terre cuite")*SUMIFS(Menuiseries[Larg.],Menuiseries[Coffre],"Coffre L terrecuite",Menuiseries[Larg.],$A6)</f>
        <v>0</v>
      </c>
      <c r="J6" s="96" t="str">
        <f>COUNTIFS(Menuiseries[Larg.],$A6,Menuiseries[Coffre],"Coffre tunnel terre cuite")&amp;" coffre(s) de L = "&amp;TEXT($A6,"##0,00")&amp;" ml"</f>
        <v>0 coffre(s) de L =  ml</v>
      </c>
      <c r="K6" s="84">
        <f>COUNTIFS(Menuiseries[Larg.],$A6,Menuiseries[Coffre],"Coffre tunnel terre cuite")*SUMIFS(Menuiseries[Larg.],Menuiseries[Coffre],"Coffre tunnel terrecuite",Menuiseries[Larg.],$A6)</f>
        <v>0</v>
      </c>
      <c r="L6" s="96" t="str">
        <f>COUNTIFS(Menuiseries[Larg.],$A6,Menuiseries[Coffre],"Coffre tunnel fibre")&amp;" coffre(s) de L = "&amp;TEXT($A6,"##0,00")&amp;" ml"</f>
        <v>0 coffre(s) de L =  ml</v>
      </c>
      <c r="M6" s="84">
        <f>COUNTIFS(Menuiseries[Larg.],$A6,Menuiseries[Coffre],"Coffre tunnel fibre")*SUMIFS(Menuiseries[Larg.],Menuiseries[Coffre],"Coffre tunnel fibre",Menuiseries[Larg.],$A6)</f>
        <v>0</v>
      </c>
      <c r="N6" s="96" t="str">
        <f>COUNTIFS(Menuiseries[Larg.],$A6,Menuiseries[Coffre],"Réservation pour BSO")&amp;" coffre(s) de L = "&amp;TEXT($A6,"##0,00")&amp;" ml"</f>
        <v>0 coffre(s) de L =  ml</v>
      </c>
      <c r="O6" s="84">
        <f>COUNTIFS(Menuiseries[Larg.],$A6,Menuiseries[Coffre],"Réservation pour BSO")*SUMIFS(Menuiseries[Larg.],Menuiseries[Coffre],"Réservation pour BSO",Menuiseries[Larg.],$A6)</f>
        <v>0</v>
      </c>
    </row>
    <row r="7" spans="1:15" x14ac:dyDescent="0.2">
      <c r="A7" s="89" t="str">
        <f t="array" ref="A7">INDEX(Menuiseries[[#All],[Larg.]],MIN(IF(COUNTIF(A$1:A6,Menuiseries[Larg.])=0,ROW(Menuiseries[Larg.]))))&amp;""</f>
        <v/>
      </c>
      <c r="B7" s="94" t="str">
        <f>COUNTIFS(Menuiseries[Larg.],$A7,Menuiseries[All.],"=0")&amp;" seuil(s) de L = "&amp;TEXT($A7,"##0,00")&amp;" ml"</f>
        <v>0 seuil(s) de L =  ml</v>
      </c>
      <c r="C7" s="84">
        <f>SUMIFS(Menuiseries[Larg.],Menuiseries[All.],"=0",Menuiseries[Larg.],$A7)</f>
        <v>0</v>
      </c>
      <c r="D7" s="96" t="str">
        <f>COUNTIFS(Menuiseries[Larg.],$A7,Menuiseries[All.],"&gt;0")&amp;" appui(s) de L = "&amp;TEXT($A7,"##0,00")&amp;" ml"</f>
        <v>0 appui(s) de L =  ml</v>
      </c>
      <c r="E7" s="84">
        <f>SUMIFS(Menuiseries[Larg.],Menuiseries[All.],"&gt;0",Menuiseries[Larg.],$A7)</f>
        <v>0</v>
      </c>
      <c r="F7" s="96" t="str">
        <f>COUNTIFS(Menuiseries[Larg.],$A7,Menuiseries[Coffre],"Coffre L béton")&amp;" coffre(s) de L = "&amp;TEXT($A7,"##0,00")&amp;" ml"</f>
        <v>0 coffre(s) de L =  ml</v>
      </c>
      <c r="G7" s="84">
        <f>COUNTIFS(Menuiseries[Larg.],$A7,Menuiseries[Coffre],"Coffre L béton")*SUMIFS(Menuiseries[Larg.],Menuiseries[Coffre],"Coffre L béton",Menuiseries[Larg.],$A7)</f>
        <v>0</v>
      </c>
      <c r="H7" s="96" t="str">
        <f>COUNTIFS(Menuiseries[Larg.],$A7,Menuiseries[Coffre],"Coffre L terre cuite")&amp;" coffre(s) de L = "&amp;TEXT($A7,"##0,00")&amp;" ml"</f>
        <v>0 coffre(s) de L =  ml</v>
      </c>
      <c r="I7" s="84">
        <f>COUNTIFS(Menuiseries[Larg.],$A7,Menuiseries[Coffre],"Coffre L terre cuite")*SUMIFS(Menuiseries[Larg.],Menuiseries[Coffre],"Coffre L terrecuite",Menuiseries[Larg.],$A7)</f>
        <v>0</v>
      </c>
      <c r="J7" s="96" t="str">
        <f>COUNTIFS(Menuiseries[Larg.],$A7,Menuiseries[Coffre],"Coffre tunnel terre cuite")&amp;" coffre(s) de L = "&amp;TEXT($A7,"##0,00")&amp;" ml"</f>
        <v>0 coffre(s) de L =  ml</v>
      </c>
      <c r="K7" s="84">
        <f>COUNTIFS(Menuiseries[Larg.],$A7,Menuiseries[Coffre],"Coffre tunnel terre cuite")*SUMIFS(Menuiseries[Larg.],Menuiseries[Coffre],"Coffre tunnel terrecuite",Menuiseries[Larg.],$A7)</f>
        <v>0</v>
      </c>
      <c r="L7" s="96" t="str">
        <f>COUNTIFS(Menuiseries[Larg.],$A7,Menuiseries[Coffre],"Coffre tunnel fibre")&amp;" coffre(s) de L = "&amp;TEXT($A7,"##0,00")&amp;" ml"</f>
        <v>0 coffre(s) de L =  ml</v>
      </c>
      <c r="M7" s="84">
        <f>COUNTIFS(Menuiseries[Larg.],$A7,Menuiseries[Coffre],"Coffre tunnel fibre")*SUMIFS(Menuiseries[Larg.],Menuiseries[Coffre],"Coffre tunnel fibre",Menuiseries[Larg.],$A7)</f>
        <v>0</v>
      </c>
      <c r="N7" s="96" t="str">
        <f>COUNTIFS(Menuiseries[Larg.],$A7,Menuiseries[Coffre],"Réservation pour BSO")&amp;" coffre(s) de L = "&amp;TEXT($A7,"##0,00")&amp;" ml"</f>
        <v>0 coffre(s) de L =  ml</v>
      </c>
      <c r="O7" s="84">
        <f>COUNTIFS(Menuiseries[Larg.],$A7,Menuiseries[Coffre],"Réservation pour BSO")*SUMIFS(Menuiseries[Larg.],Menuiseries[Coffre],"Réservation pour BSO",Menuiseries[Larg.],$A7)</f>
        <v>0</v>
      </c>
    </row>
    <row r="8" spans="1:15" x14ac:dyDescent="0.2">
      <c r="A8" s="89" t="str">
        <f t="array" ref="A8">INDEX(Menuiseries[[#All],[Larg.]],MIN(IF(COUNTIF(A$1:A7,Menuiseries[Larg.])=0,ROW(Menuiseries[Larg.]))))&amp;""</f>
        <v/>
      </c>
      <c r="B8" s="94" t="str">
        <f>COUNTIFS(Menuiseries[Larg.],$A8,Menuiseries[All.],"=0")&amp;" seuil(s) de L = "&amp;TEXT($A8,"##0,00")&amp;" ml"</f>
        <v>0 seuil(s) de L =  ml</v>
      </c>
      <c r="C8" s="84">
        <f>SUMIFS(Menuiseries[Larg.],Menuiseries[All.],"=0",Menuiseries[Larg.],$A8)</f>
        <v>0</v>
      </c>
      <c r="D8" s="96" t="str">
        <f>COUNTIFS(Menuiseries[Larg.],$A8,Menuiseries[All.],"&gt;0")&amp;" appui(s) de L = "&amp;TEXT($A8,"##0,00")&amp;" ml"</f>
        <v>0 appui(s) de L =  ml</v>
      </c>
      <c r="E8" s="84">
        <f>SUMIFS(Menuiseries[Larg.],Menuiseries[All.],"&gt;0",Menuiseries[Larg.],$A8)</f>
        <v>0</v>
      </c>
      <c r="F8" s="96" t="str">
        <f>COUNTIFS(Menuiseries[Larg.],$A8,Menuiseries[Coffre],"Coffre L béton")&amp;" coffre(s) de L = "&amp;TEXT($A8,"##0,00")&amp;" ml"</f>
        <v>0 coffre(s) de L =  ml</v>
      </c>
      <c r="G8" s="84">
        <f>COUNTIFS(Menuiseries[Larg.],$A8,Menuiseries[Coffre],"Coffre L béton")*SUMIFS(Menuiseries[Larg.],Menuiseries[Coffre],"Coffre L béton",Menuiseries[Larg.],$A8)</f>
        <v>0</v>
      </c>
      <c r="H8" s="96" t="str">
        <f>COUNTIFS(Menuiseries[Larg.],$A8,Menuiseries[Coffre],"Coffre L terre cuite")&amp;" coffre(s) de L = "&amp;TEXT($A8,"##0,00")&amp;" ml"</f>
        <v>0 coffre(s) de L =  ml</v>
      </c>
      <c r="I8" s="84">
        <f>COUNTIFS(Menuiseries[Larg.],$A8,Menuiseries[Coffre],"Coffre L terre cuite")*SUMIFS(Menuiseries[Larg.],Menuiseries[Coffre],"Coffre L terrecuite",Menuiseries[Larg.],$A8)</f>
        <v>0</v>
      </c>
      <c r="J8" s="96" t="str">
        <f>COUNTIFS(Menuiseries[Larg.],$A8,Menuiseries[Coffre],"Coffre tunnel terre cuite")&amp;" coffre(s) de L = "&amp;TEXT($A8,"##0,00")&amp;" ml"</f>
        <v>0 coffre(s) de L =  ml</v>
      </c>
      <c r="K8" s="84">
        <f>COUNTIFS(Menuiseries[Larg.],$A8,Menuiseries[Coffre],"Coffre tunnel terre cuite")*SUMIFS(Menuiseries[Larg.],Menuiseries[Coffre],"Coffre tunnel terrecuite",Menuiseries[Larg.],$A8)</f>
        <v>0</v>
      </c>
      <c r="L8" s="96" t="str">
        <f>COUNTIFS(Menuiseries[Larg.],$A8,Menuiseries[Coffre],"Coffre tunnel fibre")&amp;" coffre(s) de L = "&amp;TEXT($A8,"##0,00")&amp;" ml"</f>
        <v>0 coffre(s) de L =  ml</v>
      </c>
      <c r="M8" s="84">
        <f>COUNTIFS(Menuiseries[Larg.],$A8,Menuiseries[Coffre],"Coffre tunnel fibre")*SUMIFS(Menuiseries[Larg.],Menuiseries[Coffre],"Coffre tunnel fibre",Menuiseries[Larg.],$A8)</f>
        <v>0</v>
      </c>
      <c r="N8" s="96" t="str">
        <f>COUNTIFS(Menuiseries[Larg.],$A8,Menuiseries[Coffre],"Réservation pour BSO")&amp;" coffre(s) de L = "&amp;TEXT($A8,"##0,00")&amp;" ml"</f>
        <v>0 coffre(s) de L =  ml</v>
      </c>
      <c r="O8" s="84">
        <f>COUNTIFS(Menuiseries[Larg.],$A8,Menuiseries[Coffre],"Réservation pour BSO")*SUMIFS(Menuiseries[Larg.],Menuiseries[Coffre],"Réservation pour BSO",Menuiseries[Larg.],$A8)</f>
        <v>0</v>
      </c>
    </row>
    <row r="9" spans="1:15" x14ac:dyDescent="0.2">
      <c r="A9" s="89" t="str">
        <f t="array" ref="A9">INDEX(Menuiseries[[#All],[Larg.]],MIN(IF(COUNTIF(A$1:A8,Menuiseries[Larg.])=0,ROW(Menuiseries[Larg.]))))&amp;""</f>
        <v/>
      </c>
      <c r="B9" s="94" t="str">
        <f>COUNTIFS(Menuiseries[Larg.],$A9,Menuiseries[All.],"=0")&amp;" seuil(s) de L = "&amp;TEXT($A9,"##0,00")&amp;" ml"</f>
        <v>0 seuil(s) de L =  ml</v>
      </c>
      <c r="C9" s="84">
        <f>SUMIFS(Menuiseries[Larg.],Menuiseries[All.],"=0",Menuiseries[Larg.],$A9)</f>
        <v>0</v>
      </c>
      <c r="D9" s="96" t="str">
        <f>COUNTIFS(Menuiseries[Larg.],$A9,Menuiseries[All.],"&gt;0")&amp;" appui(s) de L = "&amp;TEXT($A9,"##0,00")&amp;" ml"</f>
        <v>0 appui(s) de L =  ml</v>
      </c>
      <c r="E9" s="84">
        <f>SUMIFS(Menuiseries[Larg.],Menuiseries[All.],"&gt;0",Menuiseries[Larg.],$A9)</f>
        <v>0</v>
      </c>
      <c r="F9" s="96" t="str">
        <f>COUNTIFS(Menuiseries[Larg.],$A9,Menuiseries[Coffre],"Coffre L béton")&amp;" coffre(s) de L = "&amp;TEXT($A9,"##0,00")&amp;" ml"</f>
        <v>0 coffre(s) de L =  ml</v>
      </c>
      <c r="G9" s="84">
        <f>COUNTIFS(Menuiseries[Larg.],$A9,Menuiseries[Coffre],"Coffre L béton")*SUMIFS(Menuiseries[Larg.],Menuiseries[Coffre],"Coffre L béton",Menuiseries[Larg.],$A9)</f>
        <v>0</v>
      </c>
      <c r="H9" s="96" t="str">
        <f>COUNTIFS(Menuiseries[Larg.],$A9,Menuiseries[Coffre],"Coffre L terre cuite")&amp;" coffre(s) de L = "&amp;TEXT($A9,"##0,00")&amp;" ml"</f>
        <v>0 coffre(s) de L =  ml</v>
      </c>
      <c r="I9" s="84">
        <f>COUNTIFS(Menuiseries[Larg.],$A9,Menuiseries[Coffre],"Coffre L terre cuite")*SUMIFS(Menuiseries[Larg.],Menuiseries[Coffre],"Coffre L terrecuite",Menuiseries[Larg.],$A9)</f>
        <v>0</v>
      </c>
      <c r="J9" s="96" t="str">
        <f>COUNTIFS(Menuiseries[Larg.],$A9,Menuiseries[Coffre],"Coffre tunnel terre cuite")&amp;" coffre(s) de L = "&amp;TEXT($A9,"##0,00")&amp;" ml"</f>
        <v>0 coffre(s) de L =  ml</v>
      </c>
      <c r="K9" s="84">
        <f>COUNTIFS(Menuiseries[Larg.],$A9,Menuiseries[Coffre],"Coffre tunnel terre cuite")*SUMIFS(Menuiseries[Larg.],Menuiseries[Coffre],"Coffre tunnel terrecuite",Menuiseries[Larg.],$A9)</f>
        <v>0</v>
      </c>
      <c r="L9" s="96" t="str">
        <f>COUNTIFS(Menuiseries[Larg.],$A9,Menuiseries[Coffre],"Coffre tunnel fibre")&amp;" coffre(s) de L = "&amp;TEXT($A9,"##0,00")&amp;" ml"</f>
        <v>0 coffre(s) de L =  ml</v>
      </c>
      <c r="M9" s="84">
        <f>COUNTIFS(Menuiseries[Larg.],$A9,Menuiseries[Coffre],"Coffre tunnel fibre")*SUMIFS(Menuiseries[Larg.],Menuiseries[Coffre],"Coffre tunnel fibre",Menuiseries[Larg.],$A9)</f>
        <v>0</v>
      </c>
      <c r="N9" s="96" t="str">
        <f>COUNTIFS(Menuiseries[Larg.],$A9,Menuiseries[Coffre],"Réservation pour BSO")&amp;" coffre(s) de L = "&amp;TEXT($A9,"##0,00")&amp;" ml"</f>
        <v>0 coffre(s) de L =  ml</v>
      </c>
      <c r="O9" s="84">
        <f>COUNTIFS(Menuiseries[Larg.],$A9,Menuiseries[Coffre],"Réservation pour BSO")*SUMIFS(Menuiseries[Larg.],Menuiseries[Coffre],"Réservation pour BSO",Menuiseries[Larg.],$A9)</f>
        <v>0</v>
      </c>
    </row>
    <row r="10" spans="1:15" x14ac:dyDescent="0.2">
      <c r="A10" s="89" t="str">
        <f t="array" ref="A10">INDEX(Menuiseries[[#All],[Larg.]],MIN(IF(COUNTIF(A$1:A9,Menuiseries[Larg.])=0,ROW(Menuiseries[Larg.]))))&amp;""</f>
        <v/>
      </c>
      <c r="B10" s="94" t="str">
        <f>COUNTIFS(Menuiseries[Larg.],$A10,Menuiseries[All.],"=0")&amp;" seuil(s) de L = "&amp;TEXT($A10,"##0,00")&amp;" ml"</f>
        <v>0 seuil(s) de L =  ml</v>
      </c>
      <c r="C10" s="84">
        <f>SUMIFS(Menuiseries[Larg.],Menuiseries[All.],"=0",Menuiseries[Larg.],$A10)</f>
        <v>0</v>
      </c>
      <c r="D10" s="96" t="str">
        <f>COUNTIFS(Menuiseries[Larg.],$A10,Menuiseries[All.],"&gt;0")&amp;" appui(s) de L = "&amp;TEXT($A10,"##0,00")&amp;" ml"</f>
        <v>0 appui(s) de L =  ml</v>
      </c>
      <c r="E10" s="84">
        <f>SUMIFS(Menuiseries[Larg.],Menuiseries[All.],"&gt;0",Menuiseries[Larg.],$A10)</f>
        <v>0</v>
      </c>
      <c r="F10" s="96" t="str">
        <f>COUNTIFS(Menuiseries[Larg.],$A10,Menuiseries[Coffre],"Coffre L béton")&amp;" coffre(s) de L = "&amp;TEXT($A10,"##0,00")&amp;" ml"</f>
        <v>0 coffre(s) de L =  ml</v>
      </c>
      <c r="G10" s="84">
        <f>COUNTIFS(Menuiseries[Larg.],$A10,Menuiseries[Coffre],"Coffre L béton")*SUMIFS(Menuiseries[Larg.],Menuiseries[Coffre],"Coffre L béton",Menuiseries[Larg.],$A10)</f>
        <v>0</v>
      </c>
      <c r="H10" s="96" t="str">
        <f>COUNTIFS(Menuiseries[Larg.],$A10,Menuiseries[Coffre],"Coffre L terre cuite")&amp;" coffre(s) de L = "&amp;TEXT($A10,"##0,00")&amp;" ml"</f>
        <v>0 coffre(s) de L =  ml</v>
      </c>
      <c r="I10" s="84">
        <f>COUNTIFS(Menuiseries[Larg.],$A10,Menuiseries[Coffre],"Coffre L terre cuite")*SUMIFS(Menuiseries[Larg.],Menuiseries[Coffre],"Coffre L terrecuite",Menuiseries[Larg.],$A10)</f>
        <v>0</v>
      </c>
      <c r="J10" s="96" t="str">
        <f>COUNTIFS(Menuiseries[Larg.],$A10,Menuiseries[Coffre],"Coffre tunnel terre cuite")&amp;" coffre(s) de L = "&amp;TEXT($A10,"##0,00")&amp;" ml"</f>
        <v>0 coffre(s) de L =  ml</v>
      </c>
      <c r="K10" s="84">
        <f>COUNTIFS(Menuiseries[Larg.],$A10,Menuiseries[Coffre],"Coffre tunnel terre cuite")*SUMIFS(Menuiseries[Larg.],Menuiseries[Coffre],"Coffre tunnel terrecuite",Menuiseries[Larg.],$A10)</f>
        <v>0</v>
      </c>
      <c r="L10" s="96" t="str">
        <f>COUNTIFS(Menuiseries[Larg.],$A10,Menuiseries[Coffre],"Coffre tunnel fibre")&amp;" coffre(s) de L = "&amp;TEXT($A10,"##0,00")&amp;" ml"</f>
        <v>0 coffre(s) de L =  ml</v>
      </c>
      <c r="M10" s="84">
        <f>COUNTIFS(Menuiseries[Larg.],$A10,Menuiseries[Coffre],"Coffre tunnel fibre")*SUMIFS(Menuiseries[Larg.],Menuiseries[Coffre],"Coffre tunnel fibre",Menuiseries[Larg.],$A10)</f>
        <v>0</v>
      </c>
      <c r="N10" s="96" t="str">
        <f>COUNTIFS(Menuiseries[Larg.],$A10,Menuiseries[Coffre],"Réservation pour BSO")&amp;" coffre(s) de L = "&amp;TEXT($A10,"##0,00")&amp;" ml"</f>
        <v>0 coffre(s) de L =  ml</v>
      </c>
      <c r="O10" s="84">
        <f>COUNTIFS(Menuiseries[Larg.],$A10,Menuiseries[Coffre],"Réservation pour BSO")*SUMIFS(Menuiseries[Larg.],Menuiseries[Coffre],"Réservation pour BSO",Menuiseries[Larg.],$A10)</f>
        <v>0</v>
      </c>
    </row>
    <row r="11" spans="1:15" x14ac:dyDescent="0.2">
      <c r="A11" s="89" t="str">
        <f t="array" ref="A11">INDEX(Menuiseries[[#All],[Larg.]],MIN(IF(COUNTIF(A$1:A10,Menuiseries[Larg.])=0,ROW(Menuiseries[Larg.]))))&amp;""</f>
        <v/>
      </c>
      <c r="B11" s="94" t="str">
        <f>COUNTIFS(Menuiseries[Larg.],$A11,Menuiseries[All.],"=0")&amp;" seuil(s) de L = "&amp;TEXT($A11,"##0,00")&amp;" ml"</f>
        <v>0 seuil(s) de L =  ml</v>
      </c>
      <c r="C11" s="84">
        <f>SUMIFS(Menuiseries[Larg.],Menuiseries[All.],"=0",Menuiseries[Larg.],$A11)</f>
        <v>0</v>
      </c>
      <c r="D11" s="96" t="str">
        <f>COUNTIFS(Menuiseries[Larg.],$A11,Menuiseries[All.],"&gt;0")&amp;" appui(s) de L = "&amp;TEXT($A11,"##0,00")&amp;" ml"</f>
        <v>0 appui(s) de L =  ml</v>
      </c>
      <c r="E11" s="84">
        <f>SUMIFS(Menuiseries[Larg.],Menuiseries[All.],"&gt;0",Menuiseries[Larg.],$A11)</f>
        <v>0</v>
      </c>
      <c r="F11" s="96" t="str">
        <f>COUNTIFS(Menuiseries[Larg.],$A11,Menuiseries[Coffre],"Coffre L béton")&amp;" coffre(s) de L = "&amp;TEXT($A11,"##0,00")&amp;" ml"</f>
        <v>0 coffre(s) de L =  ml</v>
      </c>
      <c r="G11" s="84">
        <f>COUNTIFS(Menuiseries[Larg.],$A11,Menuiseries[Coffre],"Coffre L béton")*SUMIFS(Menuiseries[Larg.],Menuiseries[Coffre],"Coffre L béton",Menuiseries[Larg.],$A11)</f>
        <v>0</v>
      </c>
      <c r="H11" s="96" t="str">
        <f>COUNTIFS(Menuiseries[Larg.],$A11,Menuiseries[Coffre],"Coffre L terre cuite")&amp;" coffre(s) de L = "&amp;TEXT($A11,"##0,00")&amp;" ml"</f>
        <v>0 coffre(s) de L =  ml</v>
      </c>
      <c r="I11" s="84">
        <f>COUNTIFS(Menuiseries[Larg.],$A11,Menuiseries[Coffre],"Coffre L terre cuite")*SUMIFS(Menuiseries[Larg.],Menuiseries[Coffre],"Coffre L terrecuite",Menuiseries[Larg.],$A11)</f>
        <v>0</v>
      </c>
      <c r="J11" s="96" t="str">
        <f>COUNTIFS(Menuiseries[Larg.],$A11,Menuiseries[Coffre],"Coffre tunnel terre cuite")&amp;" coffre(s) de L = "&amp;TEXT($A11,"##0,00")&amp;" ml"</f>
        <v>0 coffre(s) de L =  ml</v>
      </c>
      <c r="K11" s="84">
        <f>COUNTIFS(Menuiseries[Larg.],$A11,Menuiseries[Coffre],"Coffre tunnel terre cuite")*SUMIFS(Menuiseries[Larg.],Menuiseries[Coffre],"Coffre tunnel terrecuite",Menuiseries[Larg.],$A11)</f>
        <v>0</v>
      </c>
      <c r="L11" s="96" t="str">
        <f>COUNTIFS(Menuiseries[Larg.],$A11,Menuiseries[Coffre],"Coffre tunnel fibre")&amp;" coffre(s) de L = "&amp;TEXT($A11,"##0,00")&amp;" ml"</f>
        <v>0 coffre(s) de L =  ml</v>
      </c>
      <c r="M11" s="84">
        <f>COUNTIFS(Menuiseries[Larg.],$A11,Menuiseries[Coffre],"Coffre tunnel fibre")*SUMIFS(Menuiseries[Larg.],Menuiseries[Coffre],"Coffre tunnel fibre",Menuiseries[Larg.],$A11)</f>
        <v>0</v>
      </c>
      <c r="N11" s="96" t="str">
        <f>COUNTIFS(Menuiseries[Larg.],$A11,Menuiseries[Coffre],"Réservation pour BSO")&amp;" coffre(s) de L = "&amp;TEXT($A11,"##0,00")&amp;" ml"</f>
        <v>0 coffre(s) de L =  ml</v>
      </c>
      <c r="O11" s="84">
        <f>COUNTIFS(Menuiseries[Larg.],$A11,Menuiseries[Coffre],"Réservation pour BSO")*SUMIFS(Menuiseries[Larg.],Menuiseries[Coffre],"Réservation pour BSO",Menuiseries[Larg.],$A11)</f>
        <v>0</v>
      </c>
    </row>
    <row r="12" spans="1:15" x14ac:dyDescent="0.2">
      <c r="A12" s="89" t="str">
        <f t="array" ref="A12">INDEX(Menuiseries[[#All],[Larg.]],MIN(IF(COUNTIF(A$1:A11,Menuiseries[Larg.])=0,ROW(Menuiseries[Larg.]))))&amp;""</f>
        <v/>
      </c>
      <c r="B12" s="94" t="str">
        <f>COUNTIFS(Menuiseries[Larg.],$A12,Menuiseries[All.],"=0")&amp;" seuil(s) de L = "&amp;TEXT($A12,"##0,00")&amp;" ml"</f>
        <v>0 seuil(s) de L =  ml</v>
      </c>
      <c r="C12" s="84">
        <f>SUMIFS(Menuiseries[Larg.],Menuiseries[All.],"=0",Menuiseries[Larg.],$A12)</f>
        <v>0</v>
      </c>
      <c r="D12" s="96" t="str">
        <f>COUNTIFS(Menuiseries[Larg.],$A12,Menuiseries[All.],"&gt;0")&amp;" appui(s) de L = "&amp;TEXT($A12,"##0,00")&amp;" ml"</f>
        <v>0 appui(s) de L =  ml</v>
      </c>
      <c r="E12" s="84">
        <f>SUMIFS(Menuiseries[Larg.],Menuiseries[All.],"&gt;0",Menuiseries[Larg.],$A12)</f>
        <v>0</v>
      </c>
      <c r="F12" s="96" t="str">
        <f>COUNTIFS(Menuiseries[Larg.],$A12,Menuiseries[Coffre],"Coffre L béton")&amp;" coffre(s) de L = "&amp;TEXT($A12,"##0,00")&amp;" ml"</f>
        <v>0 coffre(s) de L =  ml</v>
      </c>
      <c r="G12" s="84">
        <f>COUNTIFS(Menuiseries[Larg.],$A12,Menuiseries[Coffre],"Coffre L béton")*SUMIFS(Menuiseries[Larg.],Menuiseries[Coffre],"Coffre L béton",Menuiseries[Larg.],$A12)</f>
        <v>0</v>
      </c>
      <c r="H12" s="96" t="str">
        <f>COUNTIFS(Menuiseries[Larg.],$A12,Menuiseries[Coffre],"Coffre L terre cuite")&amp;" coffre(s) de L = "&amp;TEXT($A12,"##0,00")&amp;" ml"</f>
        <v>0 coffre(s) de L =  ml</v>
      </c>
      <c r="I12" s="84">
        <f>COUNTIFS(Menuiseries[Larg.],$A12,Menuiseries[Coffre],"Coffre L terre cuite")*SUMIFS(Menuiseries[Larg.],Menuiseries[Coffre],"Coffre L terrecuite",Menuiseries[Larg.],$A12)</f>
        <v>0</v>
      </c>
      <c r="J12" s="96" t="str">
        <f>COUNTIFS(Menuiseries[Larg.],$A12,Menuiseries[Coffre],"Coffre tunnel terre cuite")&amp;" coffre(s) de L = "&amp;TEXT($A12,"##0,00")&amp;" ml"</f>
        <v>0 coffre(s) de L =  ml</v>
      </c>
      <c r="K12" s="84">
        <f>COUNTIFS(Menuiseries[Larg.],$A12,Menuiseries[Coffre],"Coffre tunnel terre cuite")*SUMIFS(Menuiseries[Larg.],Menuiseries[Coffre],"Coffre tunnel terrecuite",Menuiseries[Larg.],$A12)</f>
        <v>0</v>
      </c>
      <c r="L12" s="96" t="str">
        <f>COUNTIFS(Menuiseries[Larg.],$A12,Menuiseries[Coffre],"Coffre tunnel fibre")&amp;" coffre(s) de L = "&amp;TEXT($A12,"##0,00")&amp;" ml"</f>
        <v>0 coffre(s) de L =  ml</v>
      </c>
      <c r="M12" s="84">
        <f>COUNTIFS(Menuiseries[Larg.],$A12,Menuiseries[Coffre],"Coffre tunnel fibre")*SUMIFS(Menuiseries[Larg.],Menuiseries[Coffre],"Coffre tunnel fibre",Menuiseries[Larg.],$A12)</f>
        <v>0</v>
      </c>
      <c r="N12" s="96" t="str">
        <f>COUNTIFS(Menuiseries[Larg.],$A12,Menuiseries[Coffre],"Réservation pour BSO")&amp;" coffre(s) de L = "&amp;TEXT($A12,"##0,00")&amp;" ml"</f>
        <v>0 coffre(s) de L =  ml</v>
      </c>
      <c r="O12" s="84">
        <f>COUNTIFS(Menuiseries[Larg.],$A12,Menuiseries[Coffre],"Réservation pour BSO")*SUMIFS(Menuiseries[Larg.],Menuiseries[Coffre],"Réservation pour BSO",Menuiseries[Larg.],$A12)</f>
        <v>0</v>
      </c>
    </row>
    <row r="13" spans="1:15" x14ac:dyDescent="0.2">
      <c r="A13" s="89" t="str">
        <f t="array" ref="A13">INDEX(Menuiseries[[#All],[Larg.]],MIN(IF(COUNTIF(A$1:A12,Menuiseries[Larg.])=0,ROW(Menuiseries[Larg.]))))&amp;""</f>
        <v/>
      </c>
      <c r="B13" s="94" t="str">
        <f>COUNTIFS(Menuiseries[Larg.],$A13,Menuiseries[All.],"=0")&amp;" seuil(s) de L = "&amp;TEXT($A13,"##0,00")&amp;" ml"</f>
        <v>0 seuil(s) de L =  ml</v>
      </c>
      <c r="C13" s="84">
        <f>SUMIFS(Menuiseries[Larg.],Menuiseries[All.],"=0",Menuiseries[Larg.],$A13)</f>
        <v>0</v>
      </c>
      <c r="D13" s="96" t="str">
        <f>COUNTIFS(Menuiseries[Larg.],$A13,Menuiseries[All.],"&gt;0")&amp;" appui(s) de L = "&amp;TEXT($A13,"##0,00")&amp;" ml"</f>
        <v>0 appui(s) de L =  ml</v>
      </c>
      <c r="E13" s="84">
        <f>SUMIFS(Menuiseries[Larg.],Menuiseries[All.],"&gt;0",Menuiseries[Larg.],$A13)</f>
        <v>0</v>
      </c>
      <c r="F13" s="96" t="str">
        <f>COUNTIFS(Menuiseries[Larg.],$A13,Menuiseries[Coffre],"Coffre L béton")&amp;" coffre(s) de L = "&amp;TEXT($A13,"##0,00")&amp;" ml"</f>
        <v>0 coffre(s) de L =  ml</v>
      </c>
      <c r="G13" s="84">
        <f>COUNTIFS(Menuiseries[Larg.],$A13,Menuiseries[Coffre],"Coffre L béton")*SUMIFS(Menuiseries[Larg.],Menuiseries[Coffre],"Coffre L béton",Menuiseries[Larg.],$A13)</f>
        <v>0</v>
      </c>
      <c r="H13" s="96" t="str">
        <f>COUNTIFS(Menuiseries[Larg.],$A13,Menuiseries[Coffre],"Coffre L terre cuite")&amp;" coffre(s) de L = "&amp;TEXT($A13,"##0,00")&amp;" ml"</f>
        <v>0 coffre(s) de L =  ml</v>
      </c>
      <c r="I13" s="84">
        <f>COUNTIFS(Menuiseries[Larg.],$A13,Menuiseries[Coffre],"Coffre L terre cuite")*SUMIFS(Menuiseries[Larg.],Menuiseries[Coffre],"Coffre L terrecuite",Menuiseries[Larg.],$A13)</f>
        <v>0</v>
      </c>
      <c r="J13" s="96" t="str">
        <f>COUNTIFS(Menuiseries[Larg.],$A13,Menuiseries[Coffre],"Coffre tunnel terre cuite")&amp;" coffre(s) de L = "&amp;TEXT($A13,"##0,00")&amp;" ml"</f>
        <v>0 coffre(s) de L =  ml</v>
      </c>
      <c r="K13" s="84">
        <f>COUNTIFS(Menuiseries[Larg.],$A13,Menuiseries[Coffre],"Coffre tunnel terre cuite")*SUMIFS(Menuiseries[Larg.],Menuiseries[Coffre],"Coffre tunnel terrecuite",Menuiseries[Larg.],$A13)</f>
        <v>0</v>
      </c>
      <c r="L13" s="96" t="str">
        <f>COUNTIFS(Menuiseries[Larg.],$A13,Menuiseries[Coffre],"Coffre tunnel fibre")&amp;" coffre(s) de L = "&amp;TEXT($A13,"##0,00")&amp;" ml"</f>
        <v>0 coffre(s) de L =  ml</v>
      </c>
      <c r="M13" s="84">
        <f>COUNTIFS(Menuiseries[Larg.],$A13,Menuiseries[Coffre],"Coffre tunnel fibre")*SUMIFS(Menuiseries[Larg.],Menuiseries[Coffre],"Coffre tunnel fibre",Menuiseries[Larg.],$A13)</f>
        <v>0</v>
      </c>
      <c r="N13" s="96" t="str">
        <f>COUNTIFS(Menuiseries[Larg.],$A13,Menuiseries[Coffre],"Réservation pour BSO")&amp;" coffre(s) de L = "&amp;TEXT($A13,"##0,00")&amp;" ml"</f>
        <v>0 coffre(s) de L =  ml</v>
      </c>
      <c r="O13" s="84">
        <f>COUNTIFS(Menuiseries[Larg.],$A13,Menuiseries[Coffre],"Réservation pour BSO")*SUMIFS(Menuiseries[Larg.],Menuiseries[Coffre],"Réservation pour BSO",Menuiseries[Larg.],$A13)</f>
        <v>0</v>
      </c>
    </row>
    <row r="14" spans="1:15" x14ac:dyDescent="0.2">
      <c r="A14" s="89" t="str">
        <f t="array" ref="A14">INDEX(Menuiseries[[#All],[Larg.]],MIN(IF(COUNTIF(A$1:A13,Menuiseries[Larg.])=0,ROW(Menuiseries[Larg.]))))&amp;""</f>
        <v/>
      </c>
      <c r="B14" s="94" t="str">
        <f>COUNTIFS(Menuiseries[Larg.],$A14,Menuiseries[All.],"=0")&amp;" seuil(s) de L = "&amp;TEXT($A14,"##0,00")&amp;" ml"</f>
        <v>0 seuil(s) de L =  ml</v>
      </c>
      <c r="C14" s="84">
        <f>SUMIFS(Menuiseries[Larg.],Menuiseries[All.],"=0",Menuiseries[Larg.],$A14)</f>
        <v>0</v>
      </c>
      <c r="D14" s="96" t="str">
        <f>COUNTIFS(Menuiseries[Larg.],$A14,Menuiseries[All.],"&gt;0")&amp;" appui(s) de L = "&amp;TEXT($A14,"##0,00")&amp;" ml"</f>
        <v>0 appui(s) de L =  ml</v>
      </c>
      <c r="E14" s="84">
        <f>SUMIFS(Menuiseries[Larg.],Menuiseries[All.],"&gt;0",Menuiseries[Larg.],$A14)</f>
        <v>0</v>
      </c>
      <c r="F14" s="96" t="str">
        <f>COUNTIFS(Menuiseries[Larg.],$A14,Menuiseries[Coffre],"Coffre L béton")&amp;" coffre(s) de L = "&amp;TEXT($A14,"##0,00")&amp;" ml"</f>
        <v>0 coffre(s) de L =  ml</v>
      </c>
      <c r="G14" s="84">
        <f>COUNTIFS(Menuiseries[Larg.],$A14,Menuiseries[Coffre],"Coffre L béton")*SUMIFS(Menuiseries[Larg.],Menuiseries[Coffre],"Coffre L béton",Menuiseries[Larg.],$A14)</f>
        <v>0</v>
      </c>
      <c r="H14" s="96" t="str">
        <f>COUNTIFS(Menuiseries[Larg.],$A14,Menuiseries[Coffre],"Coffre L terre cuite")&amp;" coffre(s) de L = "&amp;TEXT($A14,"##0,00")&amp;" ml"</f>
        <v>0 coffre(s) de L =  ml</v>
      </c>
      <c r="I14" s="84">
        <f>COUNTIFS(Menuiseries[Larg.],$A14,Menuiseries[Coffre],"Coffre L terre cuite")*SUMIFS(Menuiseries[Larg.],Menuiseries[Coffre],"Coffre L terrecuite",Menuiseries[Larg.],$A14)</f>
        <v>0</v>
      </c>
      <c r="J14" s="96" t="str">
        <f>COUNTIFS(Menuiseries[Larg.],$A14,Menuiseries[Coffre],"Coffre tunnel terre cuite")&amp;" coffre(s) de L = "&amp;TEXT($A14,"##0,00")&amp;" ml"</f>
        <v>0 coffre(s) de L =  ml</v>
      </c>
      <c r="K14" s="84">
        <f>COUNTIFS(Menuiseries[Larg.],$A14,Menuiseries[Coffre],"Coffre tunnel terre cuite")*SUMIFS(Menuiseries[Larg.],Menuiseries[Coffre],"Coffre tunnel terrecuite",Menuiseries[Larg.],$A14)</f>
        <v>0</v>
      </c>
      <c r="L14" s="96" t="str">
        <f>COUNTIFS(Menuiseries[Larg.],$A14,Menuiseries[Coffre],"Coffre tunnel fibre")&amp;" coffre(s) de L = "&amp;TEXT($A14,"##0,00")&amp;" ml"</f>
        <v>0 coffre(s) de L =  ml</v>
      </c>
      <c r="M14" s="84">
        <f>COUNTIFS(Menuiseries[Larg.],$A14,Menuiseries[Coffre],"Coffre tunnel fibre")*SUMIFS(Menuiseries[Larg.],Menuiseries[Coffre],"Coffre tunnel fibre",Menuiseries[Larg.],$A14)</f>
        <v>0</v>
      </c>
      <c r="N14" s="96" t="str">
        <f>COUNTIFS(Menuiseries[Larg.],$A14,Menuiseries[Coffre],"Réservation pour BSO")&amp;" coffre(s) de L = "&amp;TEXT($A14,"##0,00")&amp;" ml"</f>
        <v>0 coffre(s) de L =  ml</v>
      </c>
      <c r="O14" s="84">
        <f>COUNTIFS(Menuiseries[Larg.],$A14,Menuiseries[Coffre],"Réservation pour BSO")*SUMIFS(Menuiseries[Larg.],Menuiseries[Coffre],"Réservation pour BSO",Menuiseries[Larg.],$A14)</f>
        <v>0</v>
      </c>
    </row>
    <row r="15" spans="1:15" x14ac:dyDescent="0.2">
      <c r="A15" s="89" t="str">
        <f t="array" ref="A15">INDEX(Menuiseries[[#All],[Larg.]],MIN(IF(COUNTIF(A$1:A14,Menuiseries[Larg.])=0,ROW(Menuiseries[Larg.]))))&amp;""</f>
        <v/>
      </c>
      <c r="B15" s="94" t="str">
        <f>COUNTIFS(Menuiseries[Larg.],$A15,Menuiseries[All.],"=0")&amp;" seuil(s) de L = "&amp;TEXT($A15,"##0,00")&amp;" ml"</f>
        <v>0 seuil(s) de L =  ml</v>
      </c>
      <c r="C15" s="84">
        <f>SUMIFS(Menuiseries[Larg.],Menuiseries[All.],"=0",Menuiseries[Larg.],$A15)</f>
        <v>0</v>
      </c>
      <c r="D15" s="96" t="str">
        <f>COUNTIFS(Menuiseries[Larg.],$A15,Menuiseries[All.],"&gt;0")&amp;" appui(s) de L = "&amp;TEXT($A15,"##0,00")&amp;" ml"</f>
        <v>0 appui(s) de L =  ml</v>
      </c>
      <c r="E15" s="84">
        <f>SUMIFS(Menuiseries[Larg.],Menuiseries[All.],"&gt;0",Menuiseries[Larg.],$A15)</f>
        <v>0</v>
      </c>
      <c r="F15" s="96" t="str">
        <f>COUNTIFS(Menuiseries[Larg.],$A15,Menuiseries[Coffre],"Coffre L béton")&amp;" coffre(s) de L = "&amp;TEXT($A15,"##0,00")&amp;" ml"</f>
        <v>0 coffre(s) de L =  ml</v>
      </c>
      <c r="G15" s="84">
        <f>COUNTIFS(Menuiseries[Larg.],$A15,Menuiseries[Coffre],"Coffre L béton")*SUMIFS(Menuiseries[Larg.],Menuiseries[Coffre],"Coffre L béton",Menuiseries[Larg.],$A15)</f>
        <v>0</v>
      </c>
      <c r="H15" s="96" t="str">
        <f>COUNTIFS(Menuiseries[Larg.],$A15,Menuiseries[Coffre],"Coffre L terre cuite")&amp;" coffre(s) de L = "&amp;TEXT($A15,"##0,00")&amp;" ml"</f>
        <v>0 coffre(s) de L =  ml</v>
      </c>
      <c r="I15" s="84">
        <f>COUNTIFS(Menuiseries[Larg.],$A15,Menuiseries[Coffre],"Coffre L terre cuite")*SUMIFS(Menuiseries[Larg.],Menuiseries[Coffre],"Coffre L terrecuite",Menuiseries[Larg.],$A15)</f>
        <v>0</v>
      </c>
      <c r="J15" s="96" t="str">
        <f>COUNTIFS(Menuiseries[Larg.],$A15,Menuiseries[Coffre],"Coffre tunnel terre cuite")&amp;" coffre(s) de L = "&amp;TEXT($A15,"##0,00")&amp;" ml"</f>
        <v>0 coffre(s) de L =  ml</v>
      </c>
      <c r="K15" s="84">
        <f>COUNTIFS(Menuiseries[Larg.],$A15,Menuiseries[Coffre],"Coffre tunnel terre cuite")*SUMIFS(Menuiseries[Larg.],Menuiseries[Coffre],"Coffre tunnel terrecuite",Menuiseries[Larg.],$A15)</f>
        <v>0</v>
      </c>
      <c r="L15" s="96" t="str">
        <f>COUNTIFS(Menuiseries[Larg.],$A15,Menuiseries[Coffre],"Coffre tunnel fibre")&amp;" coffre(s) de L = "&amp;TEXT($A15,"##0,00")&amp;" ml"</f>
        <v>0 coffre(s) de L =  ml</v>
      </c>
      <c r="M15" s="84">
        <f>COUNTIFS(Menuiseries[Larg.],$A15,Menuiseries[Coffre],"Coffre tunnel fibre")*SUMIFS(Menuiseries[Larg.],Menuiseries[Coffre],"Coffre tunnel fibre",Menuiseries[Larg.],$A15)</f>
        <v>0</v>
      </c>
      <c r="N15" s="96" t="str">
        <f>COUNTIFS(Menuiseries[Larg.],$A15,Menuiseries[Coffre],"Réservation pour BSO")&amp;" coffre(s) de L = "&amp;TEXT($A15,"##0,00")&amp;" ml"</f>
        <v>0 coffre(s) de L =  ml</v>
      </c>
      <c r="O15" s="84">
        <f>COUNTIFS(Menuiseries[Larg.],$A15,Menuiseries[Coffre],"Réservation pour BSO")*SUMIFS(Menuiseries[Larg.],Menuiseries[Coffre],"Réservation pour BSO",Menuiseries[Larg.],$A15)</f>
        <v>0</v>
      </c>
    </row>
    <row r="16" spans="1:15" x14ac:dyDescent="0.2">
      <c r="A16" s="89" t="str">
        <f t="array" ref="A16">INDEX(Menuiseries[[#All],[Larg.]],MIN(IF(COUNTIF(A$1:A15,Menuiseries[Larg.])=0,ROW(Menuiseries[Larg.]))))&amp;""</f>
        <v/>
      </c>
      <c r="B16" s="94" t="str">
        <f>COUNTIFS(Menuiseries[Larg.],$A16,Menuiseries[All.],"=0")&amp;" seuil(s) de L = "&amp;TEXT($A16,"##0,00")&amp;" ml"</f>
        <v>0 seuil(s) de L =  ml</v>
      </c>
      <c r="C16" s="84">
        <f>SUMIFS(Menuiseries[Larg.],Menuiseries[All.],"=0",Menuiseries[Larg.],$A16)</f>
        <v>0</v>
      </c>
      <c r="D16" s="96" t="str">
        <f>COUNTIFS(Menuiseries[Larg.],$A16,Menuiseries[All.],"&gt;0")&amp;" appui(s) de L = "&amp;TEXT($A16,"##0,00")&amp;" ml"</f>
        <v>0 appui(s) de L =  ml</v>
      </c>
      <c r="E16" s="84">
        <f>SUMIFS(Menuiseries[Larg.],Menuiseries[All.],"&gt;0",Menuiseries[Larg.],$A16)</f>
        <v>0</v>
      </c>
      <c r="F16" s="96" t="str">
        <f>COUNTIFS(Menuiseries[Larg.],$A16,Menuiseries[Coffre],"Coffre L béton")&amp;" coffre(s) de L = "&amp;TEXT($A16,"##0,00")&amp;" ml"</f>
        <v>0 coffre(s) de L =  ml</v>
      </c>
      <c r="G16" s="84">
        <f>COUNTIFS(Menuiseries[Larg.],$A16,Menuiseries[Coffre],"Coffre L béton")*SUMIFS(Menuiseries[Larg.],Menuiseries[Coffre],"Coffre L béton",Menuiseries[Larg.],$A16)</f>
        <v>0</v>
      </c>
      <c r="H16" s="96" t="str">
        <f>COUNTIFS(Menuiseries[Larg.],$A16,Menuiseries[Coffre],"Coffre L terre cuite")&amp;" coffre(s) de L = "&amp;TEXT($A16,"##0,00")&amp;" ml"</f>
        <v>0 coffre(s) de L =  ml</v>
      </c>
      <c r="I16" s="84">
        <f>COUNTIFS(Menuiseries[Larg.],$A16,Menuiseries[Coffre],"Coffre L terre cuite")*SUMIFS(Menuiseries[Larg.],Menuiseries[Coffre],"Coffre L terrecuite",Menuiseries[Larg.],$A16)</f>
        <v>0</v>
      </c>
      <c r="J16" s="96" t="str">
        <f>COUNTIFS(Menuiseries[Larg.],$A16,Menuiseries[Coffre],"Coffre tunnel terre cuite")&amp;" coffre(s) de L = "&amp;TEXT($A16,"##0,00")&amp;" ml"</f>
        <v>0 coffre(s) de L =  ml</v>
      </c>
      <c r="K16" s="84">
        <f>COUNTIFS(Menuiseries[Larg.],$A16,Menuiseries[Coffre],"Coffre tunnel terre cuite")*SUMIFS(Menuiseries[Larg.],Menuiseries[Coffre],"Coffre tunnel terrecuite",Menuiseries[Larg.],$A16)</f>
        <v>0</v>
      </c>
      <c r="L16" s="96" t="str">
        <f>COUNTIFS(Menuiseries[Larg.],$A16,Menuiseries[Coffre],"Coffre tunnel fibre")&amp;" coffre(s) de L = "&amp;TEXT($A16,"##0,00")&amp;" ml"</f>
        <v>0 coffre(s) de L =  ml</v>
      </c>
      <c r="M16" s="84">
        <f>COUNTIFS(Menuiseries[Larg.],$A16,Menuiseries[Coffre],"Coffre tunnel fibre")*SUMIFS(Menuiseries[Larg.],Menuiseries[Coffre],"Coffre tunnel fibre",Menuiseries[Larg.],$A16)</f>
        <v>0</v>
      </c>
      <c r="N16" s="96" t="str">
        <f>COUNTIFS(Menuiseries[Larg.],$A16,Menuiseries[Coffre],"Réservation pour BSO")&amp;" coffre(s) de L = "&amp;TEXT($A16,"##0,00")&amp;" ml"</f>
        <v>0 coffre(s) de L =  ml</v>
      </c>
      <c r="O16" s="84">
        <f>COUNTIFS(Menuiseries[Larg.],$A16,Menuiseries[Coffre],"Réservation pour BSO")*SUMIFS(Menuiseries[Larg.],Menuiseries[Coffre],"Réservation pour BSO",Menuiseries[Larg.],$A16)</f>
        <v>0</v>
      </c>
    </row>
    <row r="17" spans="1:15" x14ac:dyDescent="0.2">
      <c r="A17" s="89" t="str">
        <f t="array" ref="A17">INDEX(Menuiseries[[#All],[Larg.]],MIN(IF(COUNTIF(A$1:A16,Menuiseries[Larg.])=0,ROW(Menuiseries[Larg.]))))&amp;""</f>
        <v/>
      </c>
      <c r="B17" s="94" t="str">
        <f>COUNTIFS(Menuiseries[Larg.],$A17,Menuiseries[All.],"=0")&amp;" seuil(s) de L = "&amp;TEXT($A17,"##0,00")&amp;" ml"</f>
        <v>0 seuil(s) de L =  ml</v>
      </c>
      <c r="C17" s="84">
        <f>SUMIFS(Menuiseries[Larg.],Menuiseries[All.],"=0",Menuiseries[Larg.],$A17)</f>
        <v>0</v>
      </c>
      <c r="D17" s="96" t="str">
        <f>COUNTIFS(Menuiseries[Larg.],$A17,Menuiseries[All.],"&gt;0")&amp;" appui(s) de L = "&amp;TEXT($A17,"##0,00")&amp;" ml"</f>
        <v>0 appui(s) de L =  ml</v>
      </c>
      <c r="E17" s="84">
        <f>SUMIFS(Menuiseries[Larg.],Menuiseries[All.],"&gt;0",Menuiseries[Larg.],$A17)</f>
        <v>0</v>
      </c>
      <c r="F17" s="96" t="str">
        <f>COUNTIFS(Menuiseries[Larg.],$A17,Menuiseries[Coffre],"Coffre L béton")&amp;" coffre(s) de L = "&amp;TEXT($A17,"##0,00")&amp;" ml"</f>
        <v>0 coffre(s) de L =  ml</v>
      </c>
      <c r="G17" s="84">
        <f>COUNTIFS(Menuiseries[Larg.],$A17,Menuiseries[Coffre],"Coffre L béton")*SUMIFS(Menuiseries[Larg.],Menuiseries[Coffre],"Coffre L béton",Menuiseries[Larg.],$A17)</f>
        <v>0</v>
      </c>
      <c r="H17" s="96" t="str">
        <f>COUNTIFS(Menuiseries[Larg.],$A17,Menuiseries[Coffre],"Coffre L terre cuite")&amp;" coffre(s) de L = "&amp;TEXT($A17,"##0,00")&amp;" ml"</f>
        <v>0 coffre(s) de L =  ml</v>
      </c>
      <c r="I17" s="84">
        <f>COUNTIFS(Menuiseries[Larg.],$A17,Menuiseries[Coffre],"Coffre L terre cuite")*SUMIFS(Menuiseries[Larg.],Menuiseries[Coffre],"Coffre L terrecuite",Menuiseries[Larg.],$A17)</f>
        <v>0</v>
      </c>
      <c r="J17" s="96" t="str">
        <f>COUNTIFS(Menuiseries[Larg.],$A17,Menuiseries[Coffre],"Coffre tunnel terre cuite")&amp;" coffre(s) de L = "&amp;TEXT($A17,"##0,00")&amp;" ml"</f>
        <v>0 coffre(s) de L =  ml</v>
      </c>
      <c r="K17" s="84">
        <f>COUNTIFS(Menuiseries[Larg.],$A17,Menuiseries[Coffre],"Coffre tunnel terre cuite")*SUMIFS(Menuiseries[Larg.],Menuiseries[Coffre],"Coffre tunnel terrecuite",Menuiseries[Larg.],$A17)</f>
        <v>0</v>
      </c>
      <c r="L17" s="96" t="str">
        <f>COUNTIFS(Menuiseries[Larg.],$A17,Menuiseries[Coffre],"Coffre tunnel fibre")&amp;" coffre(s) de L = "&amp;TEXT($A17,"##0,00")&amp;" ml"</f>
        <v>0 coffre(s) de L =  ml</v>
      </c>
      <c r="M17" s="84">
        <f>COUNTIFS(Menuiseries[Larg.],$A17,Menuiseries[Coffre],"Coffre tunnel fibre")*SUMIFS(Menuiseries[Larg.],Menuiseries[Coffre],"Coffre tunnel fibre",Menuiseries[Larg.],$A17)</f>
        <v>0</v>
      </c>
      <c r="N17" s="96" t="str">
        <f>COUNTIFS(Menuiseries[Larg.],$A17,Menuiseries[Coffre],"Réservation pour BSO")&amp;" coffre(s) de L = "&amp;TEXT($A17,"##0,00")&amp;" ml"</f>
        <v>0 coffre(s) de L =  ml</v>
      </c>
      <c r="O17" s="84">
        <f>COUNTIFS(Menuiseries[Larg.],$A17,Menuiseries[Coffre],"Réservation pour BSO")*SUMIFS(Menuiseries[Larg.],Menuiseries[Coffre],"Réservation pour BSO",Menuiseries[Larg.],$A17)</f>
        <v>0</v>
      </c>
    </row>
    <row r="18" spans="1:15" x14ac:dyDescent="0.2">
      <c r="A18" s="89" t="str">
        <f t="array" ref="A18">INDEX(Menuiseries[[#All],[Larg.]],MIN(IF(COUNTIF(A$1:A17,Menuiseries[Larg.])=0,ROW(Menuiseries[Larg.]))))&amp;""</f>
        <v/>
      </c>
      <c r="B18" s="94" t="str">
        <f>COUNTIFS(Menuiseries[Larg.],$A18,Menuiseries[All.],"=0")&amp;" seuil(s) de L = "&amp;TEXT($A18,"##0,00")&amp;" ml"</f>
        <v>0 seuil(s) de L =  ml</v>
      </c>
      <c r="C18" s="84">
        <f>SUMIFS(Menuiseries[Larg.],Menuiseries[All.],"=0",Menuiseries[Larg.],$A18)</f>
        <v>0</v>
      </c>
      <c r="D18" s="96" t="str">
        <f>COUNTIFS(Menuiseries[Larg.],$A18,Menuiseries[All.],"&gt;0")&amp;" appui(s) de L = "&amp;TEXT($A18,"##0,00")&amp;" ml"</f>
        <v>0 appui(s) de L =  ml</v>
      </c>
      <c r="E18" s="84">
        <f>SUMIFS(Menuiseries[Larg.],Menuiseries[All.],"&gt;0",Menuiseries[Larg.],$A18)</f>
        <v>0</v>
      </c>
      <c r="F18" s="96" t="str">
        <f>COUNTIFS(Menuiseries[Larg.],$A18,Menuiseries[Coffre],"Coffre L béton")&amp;" coffre(s) de L = "&amp;TEXT($A18,"##0,00")&amp;" ml"</f>
        <v>0 coffre(s) de L =  ml</v>
      </c>
      <c r="G18" s="84">
        <f>COUNTIFS(Menuiseries[Larg.],$A18,Menuiseries[Coffre],"Coffre L béton")*SUMIFS(Menuiseries[Larg.],Menuiseries[Coffre],"Coffre L béton",Menuiseries[Larg.],$A18)</f>
        <v>0</v>
      </c>
      <c r="H18" s="96" t="str">
        <f>COUNTIFS(Menuiseries[Larg.],$A18,Menuiseries[Coffre],"Coffre L terre cuite")&amp;" coffre(s) de L = "&amp;TEXT($A18,"##0,00")&amp;" ml"</f>
        <v>0 coffre(s) de L =  ml</v>
      </c>
      <c r="I18" s="84">
        <f>COUNTIFS(Menuiseries[Larg.],$A18,Menuiseries[Coffre],"Coffre L terre cuite")*SUMIFS(Menuiseries[Larg.],Menuiseries[Coffre],"Coffre L terrecuite",Menuiseries[Larg.],$A18)</f>
        <v>0</v>
      </c>
      <c r="J18" s="96" t="str">
        <f>COUNTIFS(Menuiseries[Larg.],$A18,Menuiseries[Coffre],"Coffre tunnel terre cuite")&amp;" coffre(s) de L = "&amp;TEXT($A18,"##0,00")&amp;" ml"</f>
        <v>0 coffre(s) de L =  ml</v>
      </c>
      <c r="K18" s="84">
        <f>COUNTIFS(Menuiseries[Larg.],$A18,Menuiseries[Coffre],"Coffre tunnel terre cuite")*SUMIFS(Menuiseries[Larg.],Menuiseries[Coffre],"Coffre tunnel terrecuite",Menuiseries[Larg.],$A18)</f>
        <v>0</v>
      </c>
      <c r="L18" s="96" t="str">
        <f>COUNTIFS(Menuiseries[Larg.],$A18,Menuiseries[Coffre],"Coffre tunnel fibre")&amp;" coffre(s) de L = "&amp;TEXT($A18,"##0,00")&amp;" ml"</f>
        <v>0 coffre(s) de L =  ml</v>
      </c>
      <c r="M18" s="84">
        <f>COUNTIFS(Menuiseries[Larg.],$A18,Menuiseries[Coffre],"Coffre tunnel fibre")*SUMIFS(Menuiseries[Larg.],Menuiseries[Coffre],"Coffre tunnel fibre",Menuiseries[Larg.],$A18)</f>
        <v>0</v>
      </c>
      <c r="N18" s="96" t="str">
        <f>COUNTIFS(Menuiseries[Larg.],$A18,Menuiseries[Coffre],"Réservation pour BSO")&amp;" coffre(s) de L = "&amp;TEXT($A18,"##0,00")&amp;" ml"</f>
        <v>0 coffre(s) de L =  ml</v>
      </c>
      <c r="O18" s="84">
        <f>COUNTIFS(Menuiseries[Larg.],$A18,Menuiseries[Coffre],"Réservation pour BSO")*SUMIFS(Menuiseries[Larg.],Menuiseries[Coffre],"Réservation pour BSO",Menuiseries[Larg.],$A18)</f>
        <v>0</v>
      </c>
    </row>
    <row r="19" spans="1:15" x14ac:dyDescent="0.2">
      <c r="A19" s="89" t="str">
        <f t="array" ref="A19">INDEX(Menuiseries[[#All],[Larg.]],MIN(IF(COUNTIF(A$1:A18,Menuiseries[Larg.])=0,ROW(Menuiseries[Larg.]))))&amp;""</f>
        <v/>
      </c>
      <c r="B19" s="94" t="str">
        <f>COUNTIFS(Menuiseries[Larg.],$A19,Menuiseries[All.],"=0")&amp;" seuil(s) de L = "&amp;TEXT($A19,"##0,00")&amp;" ml"</f>
        <v>0 seuil(s) de L =  ml</v>
      </c>
      <c r="C19" s="84">
        <f>SUMIFS(Menuiseries[Larg.],Menuiseries[All.],"=0",Menuiseries[Larg.],$A19)</f>
        <v>0</v>
      </c>
      <c r="D19" s="96" t="str">
        <f>COUNTIFS(Menuiseries[Larg.],$A19,Menuiseries[All.],"&gt;0")&amp;" appui(s) de L = "&amp;TEXT($A19,"##0,00")&amp;" ml"</f>
        <v>0 appui(s) de L =  ml</v>
      </c>
      <c r="E19" s="84">
        <f>SUMIFS(Menuiseries[Larg.],Menuiseries[All.],"&gt;0",Menuiseries[Larg.],$A19)</f>
        <v>0</v>
      </c>
      <c r="F19" s="96" t="str">
        <f>COUNTIFS(Menuiseries[Larg.],$A19,Menuiseries[Coffre],"Coffre L béton")&amp;" coffre(s) de L = "&amp;TEXT($A19,"##0,00")&amp;" ml"</f>
        <v>0 coffre(s) de L =  ml</v>
      </c>
      <c r="G19" s="84">
        <f>COUNTIFS(Menuiseries[Larg.],$A19,Menuiseries[Coffre],"Coffre L béton")*SUMIFS(Menuiseries[Larg.],Menuiseries[Coffre],"Coffre L béton",Menuiseries[Larg.],$A19)</f>
        <v>0</v>
      </c>
      <c r="H19" s="96" t="str">
        <f>COUNTIFS(Menuiseries[Larg.],$A19,Menuiseries[Coffre],"Coffre L terre cuite")&amp;" coffre(s) de L = "&amp;TEXT($A19,"##0,00")&amp;" ml"</f>
        <v>0 coffre(s) de L =  ml</v>
      </c>
      <c r="I19" s="84">
        <f>COUNTIFS(Menuiseries[Larg.],$A19,Menuiseries[Coffre],"Coffre L terre cuite")*SUMIFS(Menuiseries[Larg.],Menuiseries[Coffre],"Coffre L terrecuite",Menuiseries[Larg.],$A19)</f>
        <v>0</v>
      </c>
      <c r="J19" s="96" t="str">
        <f>COUNTIFS(Menuiseries[Larg.],$A19,Menuiseries[Coffre],"Coffre tunnel terre cuite")&amp;" coffre(s) de L = "&amp;TEXT($A19,"##0,00")&amp;" ml"</f>
        <v>0 coffre(s) de L =  ml</v>
      </c>
      <c r="K19" s="84">
        <f>COUNTIFS(Menuiseries[Larg.],$A19,Menuiseries[Coffre],"Coffre tunnel terre cuite")*SUMIFS(Menuiseries[Larg.],Menuiseries[Coffre],"Coffre tunnel terrecuite",Menuiseries[Larg.],$A19)</f>
        <v>0</v>
      </c>
      <c r="L19" s="96" t="str">
        <f>COUNTIFS(Menuiseries[Larg.],$A19,Menuiseries[Coffre],"Coffre tunnel fibre")&amp;" coffre(s) de L = "&amp;TEXT($A19,"##0,00")&amp;" ml"</f>
        <v>0 coffre(s) de L =  ml</v>
      </c>
      <c r="M19" s="84">
        <f>COUNTIFS(Menuiseries[Larg.],$A19,Menuiseries[Coffre],"Coffre tunnel fibre")*SUMIFS(Menuiseries[Larg.],Menuiseries[Coffre],"Coffre tunnel fibre",Menuiseries[Larg.],$A19)</f>
        <v>0</v>
      </c>
      <c r="N19" s="96" t="str">
        <f>COUNTIFS(Menuiseries[Larg.],$A19,Menuiseries[Coffre],"Réservation pour BSO")&amp;" coffre(s) de L = "&amp;TEXT($A19,"##0,00")&amp;" ml"</f>
        <v>0 coffre(s) de L =  ml</v>
      </c>
      <c r="O19" s="84">
        <f>COUNTIFS(Menuiseries[Larg.],$A19,Menuiseries[Coffre],"Réservation pour BSO")*SUMIFS(Menuiseries[Larg.],Menuiseries[Coffre],"Réservation pour BSO",Menuiseries[Larg.],$A19)</f>
        <v>0</v>
      </c>
    </row>
    <row r="20" spans="1:15" x14ac:dyDescent="0.2">
      <c r="A20" s="89" t="str">
        <f t="array" ref="A20">INDEX(Menuiseries[[#All],[Larg.]],MIN(IF(COUNTIF(A$1:A19,Menuiseries[Larg.])=0,ROW(Menuiseries[Larg.]))))&amp;""</f>
        <v/>
      </c>
      <c r="B20" s="94" t="str">
        <f>COUNTIFS(Menuiseries[Larg.],$A20,Menuiseries[All.],"=0")&amp;" seuil(s) de L = "&amp;TEXT($A20,"##0,00")&amp;" ml"</f>
        <v>0 seuil(s) de L =  ml</v>
      </c>
      <c r="C20" s="84">
        <f>SUMIFS(Menuiseries[Larg.],Menuiseries[All.],"=0",Menuiseries[Larg.],$A20)</f>
        <v>0</v>
      </c>
      <c r="D20" s="96" t="str">
        <f>COUNTIFS(Menuiseries[Larg.],$A20,Menuiseries[All.],"&gt;0")&amp;" appui(s) de L = "&amp;TEXT($A20,"##0,00")&amp;" ml"</f>
        <v>0 appui(s) de L =  ml</v>
      </c>
      <c r="E20" s="84">
        <f>SUMIFS(Menuiseries[Larg.],Menuiseries[All.],"&gt;0",Menuiseries[Larg.],$A20)</f>
        <v>0</v>
      </c>
      <c r="F20" s="96" t="str">
        <f>COUNTIFS(Menuiseries[Larg.],$A20,Menuiseries[Coffre],"Coffre L béton")&amp;" coffre(s) de L = "&amp;TEXT($A20,"##0,00")&amp;" ml"</f>
        <v>0 coffre(s) de L =  ml</v>
      </c>
      <c r="G20" s="84">
        <f>COUNTIFS(Menuiseries[Larg.],$A20,Menuiseries[Coffre],"Coffre L béton")*SUMIFS(Menuiseries[Larg.],Menuiseries[Coffre],"Coffre L béton",Menuiseries[Larg.],$A20)</f>
        <v>0</v>
      </c>
      <c r="H20" s="96" t="str">
        <f>COUNTIFS(Menuiseries[Larg.],$A20,Menuiseries[Coffre],"Coffre L terre cuite")&amp;" coffre(s) de L = "&amp;TEXT($A20,"##0,00")&amp;" ml"</f>
        <v>0 coffre(s) de L =  ml</v>
      </c>
      <c r="I20" s="84">
        <f>COUNTIFS(Menuiseries[Larg.],$A20,Menuiseries[Coffre],"Coffre L terre cuite")*SUMIFS(Menuiseries[Larg.],Menuiseries[Coffre],"Coffre L terrecuite",Menuiseries[Larg.],$A20)</f>
        <v>0</v>
      </c>
      <c r="J20" s="96" t="str">
        <f>COUNTIFS(Menuiseries[Larg.],$A20,Menuiseries[Coffre],"Coffre tunnel terre cuite")&amp;" coffre(s) de L = "&amp;TEXT($A20,"##0,00")&amp;" ml"</f>
        <v>0 coffre(s) de L =  ml</v>
      </c>
      <c r="K20" s="84">
        <f>COUNTIFS(Menuiseries[Larg.],$A20,Menuiseries[Coffre],"Coffre tunnel terre cuite")*SUMIFS(Menuiseries[Larg.],Menuiseries[Coffre],"Coffre tunnel terrecuite",Menuiseries[Larg.],$A20)</f>
        <v>0</v>
      </c>
      <c r="L20" s="96" t="str">
        <f>COUNTIFS(Menuiseries[Larg.],$A20,Menuiseries[Coffre],"Coffre tunnel fibre")&amp;" coffre(s) de L = "&amp;TEXT($A20,"##0,00")&amp;" ml"</f>
        <v>0 coffre(s) de L =  ml</v>
      </c>
      <c r="M20" s="84">
        <f>COUNTIFS(Menuiseries[Larg.],$A20,Menuiseries[Coffre],"Coffre tunnel fibre")*SUMIFS(Menuiseries[Larg.],Menuiseries[Coffre],"Coffre tunnel fibre",Menuiseries[Larg.],$A20)</f>
        <v>0</v>
      </c>
      <c r="N20" s="96" t="str">
        <f>COUNTIFS(Menuiseries[Larg.],$A20,Menuiseries[Coffre],"Réservation pour BSO")&amp;" coffre(s) de L = "&amp;TEXT($A20,"##0,00")&amp;" ml"</f>
        <v>0 coffre(s) de L =  ml</v>
      </c>
      <c r="O20" s="84">
        <f>COUNTIFS(Menuiseries[Larg.],$A20,Menuiseries[Coffre],"Réservation pour BSO")*SUMIFS(Menuiseries[Larg.],Menuiseries[Coffre],"Réservation pour BSO",Menuiseries[Larg.],$A20)</f>
        <v>0</v>
      </c>
    </row>
    <row r="21" spans="1:15" x14ac:dyDescent="0.2">
      <c r="A21" s="89" t="str">
        <f t="array" ref="A21">INDEX(Menuiseries[[#All],[Larg.]],MIN(IF(COUNTIF(A$1:A20,Menuiseries[Larg.])=0,ROW(Menuiseries[Larg.]))))&amp;""</f>
        <v/>
      </c>
      <c r="B21" s="94" t="str">
        <f>COUNTIFS(Menuiseries[Larg.],$A21,Menuiseries[All.],"=0")&amp;" seuil(s) de L = "&amp;TEXT($A21,"##0,00")&amp;" ml"</f>
        <v>0 seuil(s) de L =  ml</v>
      </c>
      <c r="C21" s="84">
        <f>SUMIFS(Menuiseries[Larg.],Menuiseries[All.],"=0",Menuiseries[Larg.],$A21)</f>
        <v>0</v>
      </c>
      <c r="D21" s="96" t="str">
        <f>COUNTIFS(Menuiseries[Larg.],$A21,Menuiseries[All.],"&gt;0")&amp;" appui(s) de L = "&amp;TEXT($A21,"##0,00")&amp;" ml"</f>
        <v>0 appui(s) de L =  ml</v>
      </c>
      <c r="E21" s="84">
        <f>SUMIFS(Menuiseries[Larg.],Menuiseries[All.],"&gt;0",Menuiseries[Larg.],$A21)</f>
        <v>0</v>
      </c>
      <c r="F21" s="96" t="str">
        <f>COUNTIFS(Menuiseries[Larg.],$A21,Menuiseries[Coffre],"Coffre L béton")&amp;" coffre(s) de L = "&amp;TEXT($A21,"##0,00")&amp;" ml"</f>
        <v>0 coffre(s) de L =  ml</v>
      </c>
      <c r="G21" s="84">
        <f>COUNTIFS(Menuiseries[Larg.],$A21,Menuiseries[Coffre],"Coffre L béton")*SUMIFS(Menuiseries[Larg.],Menuiseries[Coffre],"Coffre L béton",Menuiseries[Larg.],$A21)</f>
        <v>0</v>
      </c>
      <c r="H21" s="96" t="str">
        <f>COUNTIFS(Menuiseries[Larg.],$A21,Menuiseries[Coffre],"Coffre L terre cuite")&amp;" coffre(s) de L = "&amp;TEXT($A21,"##0,00")&amp;" ml"</f>
        <v>0 coffre(s) de L =  ml</v>
      </c>
      <c r="I21" s="84">
        <f>COUNTIFS(Menuiseries[Larg.],$A21,Menuiseries[Coffre],"Coffre L terre cuite")*SUMIFS(Menuiseries[Larg.],Menuiseries[Coffre],"Coffre L terrecuite",Menuiseries[Larg.],$A21)</f>
        <v>0</v>
      </c>
      <c r="J21" s="96" t="str">
        <f>COUNTIFS(Menuiseries[Larg.],$A21,Menuiseries[Coffre],"Coffre tunnel terre cuite")&amp;" coffre(s) de L = "&amp;TEXT($A21,"##0,00")&amp;" ml"</f>
        <v>0 coffre(s) de L =  ml</v>
      </c>
      <c r="K21" s="84">
        <f>COUNTIFS(Menuiseries[Larg.],$A21,Menuiseries[Coffre],"Coffre tunnel terre cuite")*SUMIFS(Menuiseries[Larg.],Menuiseries[Coffre],"Coffre tunnel terrecuite",Menuiseries[Larg.],$A21)</f>
        <v>0</v>
      </c>
      <c r="L21" s="96" t="str">
        <f>COUNTIFS(Menuiseries[Larg.],$A21,Menuiseries[Coffre],"Coffre tunnel fibre")&amp;" coffre(s) de L = "&amp;TEXT($A21,"##0,00")&amp;" ml"</f>
        <v>0 coffre(s) de L =  ml</v>
      </c>
      <c r="M21" s="84">
        <f>COUNTIFS(Menuiseries[Larg.],$A21,Menuiseries[Coffre],"Coffre tunnel fibre")*SUMIFS(Menuiseries[Larg.],Menuiseries[Coffre],"Coffre tunnel fibre",Menuiseries[Larg.],$A21)</f>
        <v>0</v>
      </c>
      <c r="N21" s="96" t="str">
        <f>COUNTIFS(Menuiseries[Larg.],$A21,Menuiseries[Coffre],"Réservation pour BSO")&amp;" coffre(s) de L = "&amp;TEXT($A21,"##0,00")&amp;" ml"</f>
        <v>0 coffre(s) de L =  ml</v>
      </c>
      <c r="O21" s="84">
        <f>COUNTIFS(Menuiseries[Larg.],$A21,Menuiseries[Coffre],"Réservation pour BSO")*SUMIFS(Menuiseries[Larg.],Menuiseries[Coffre],"Réservation pour BSO",Menuiseries[Larg.],$A21)</f>
        <v>0</v>
      </c>
    </row>
    <row r="22" spans="1:15" x14ac:dyDescent="0.2">
      <c r="A22" s="89" t="str">
        <f t="array" ref="A22">INDEX(Menuiseries[[#All],[Larg.]],MIN(IF(COUNTIF(A$1:A21,Menuiseries[Larg.])=0,ROW(Menuiseries[Larg.]))))&amp;""</f>
        <v/>
      </c>
      <c r="B22" s="94" t="str">
        <f>COUNTIFS(Menuiseries[Larg.],$A22,Menuiseries[All.],"=0")&amp;" seuil(s) de L = "&amp;TEXT($A22,"##0,00")&amp;" ml"</f>
        <v>0 seuil(s) de L =  ml</v>
      </c>
      <c r="C22" s="84">
        <f>SUMIFS(Menuiseries[Larg.],Menuiseries[All.],"=0",Menuiseries[Larg.],$A22)</f>
        <v>0</v>
      </c>
      <c r="D22" s="96" t="str">
        <f>COUNTIFS(Menuiseries[Larg.],$A22,Menuiseries[All.],"&gt;0")&amp;" appui(s) de L = "&amp;TEXT($A22,"##0,00")&amp;" ml"</f>
        <v>0 appui(s) de L =  ml</v>
      </c>
      <c r="E22" s="84">
        <f>SUMIFS(Menuiseries[Larg.],Menuiseries[All.],"&gt;0",Menuiseries[Larg.],$A22)</f>
        <v>0</v>
      </c>
      <c r="F22" s="96" t="str">
        <f>COUNTIFS(Menuiseries[Larg.],$A22,Menuiseries[Coffre],"Coffre L béton")&amp;" coffre(s) de L = "&amp;TEXT($A22,"##0,00")&amp;" ml"</f>
        <v>0 coffre(s) de L =  ml</v>
      </c>
      <c r="G22" s="84">
        <f>COUNTIFS(Menuiseries[Larg.],$A22,Menuiseries[Coffre],"Coffre L béton")*SUMIFS(Menuiseries[Larg.],Menuiseries[Coffre],"Coffre L béton",Menuiseries[Larg.],$A22)</f>
        <v>0</v>
      </c>
      <c r="H22" s="96" t="str">
        <f>COUNTIFS(Menuiseries[Larg.],$A22,Menuiseries[Coffre],"Coffre L terre cuite")&amp;" coffre(s) de L = "&amp;TEXT($A22,"##0,00")&amp;" ml"</f>
        <v>0 coffre(s) de L =  ml</v>
      </c>
      <c r="I22" s="84">
        <f>COUNTIFS(Menuiseries[Larg.],$A22,Menuiseries[Coffre],"Coffre L terre cuite")*SUMIFS(Menuiseries[Larg.],Menuiseries[Coffre],"Coffre L terrecuite",Menuiseries[Larg.],$A22)</f>
        <v>0</v>
      </c>
      <c r="J22" s="96" t="str">
        <f>COUNTIFS(Menuiseries[Larg.],$A22,Menuiseries[Coffre],"Coffre tunnel terre cuite")&amp;" coffre(s) de L = "&amp;TEXT($A22,"##0,00")&amp;" ml"</f>
        <v>0 coffre(s) de L =  ml</v>
      </c>
      <c r="K22" s="84">
        <f>COUNTIFS(Menuiseries[Larg.],$A22,Menuiseries[Coffre],"Coffre tunnel terre cuite")*SUMIFS(Menuiseries[Larg.],Menuiseries[Coffre],"Coffre tunnel terrecuite",Menuiseries[Larg.],$A22)</f>
        <v>0</v>
      </c>
      <c r="L22" s="96" t="str">
        <f>COUNTIFS(Menuiseries[Larg.],$A22,Menuiseries[Coffre],"Coffre tunnel fibre")&amp;" coffre(s) de L = "&amp;TEXT($A22,"##0,00")&amp;" ml"</f>
        <v>0 coffre(s) de L =  ml</v>
      </c>
      <c r="M22" s="84">
        <f>COUNTIFS(Menuiseries[Larg.],$A22,Menuiseries[Coffre],"Coffre tunnel fibre")*SUMIFS(Menuiseries[Larg.],Menuiseries[Coffre],"Coffre tunnel fibre",Menuiseries[Larg.],$A22)</f>
        <v>0</v>
      </c>
      <c r="N22" s="96" t="str">
        <f>COUNTIFS(Menuiseries[Larg.],$A22,Menuiseries[Coffre],"Réservation pour BSO")&amp;" coffre(s) de L = "&amp;TEXT($A22,"##0,00")&amp;" ml"</f>
        <v>0 coffre(s) de L =  ml</v>
      </c>
      <c r="O22" s="84">
        <f>COUNTIFS(Menuiseries[Larg.],$A22,Menuiseries[Coffre],"Réservation pour BSO")*SUMIFS(Menuiseries[Larg.],Menuiseries[Coffre],"Réservation pour BSO",Menuiseries[Larg.],$A22)</f>
        <v>0</v>
      </c>
    </row>
    <row r="23" spans="1:15" x14ac:dyDescent="0.2">
      <c r="A23" s="89" t="str">
        <f t="array" ref="A23">INDEX(Menuiseries[[#All],[Larg.]],MIN(IF(COUNTIF(A$1:A22,Menuiseries[Larg.])=0,ROW(Menuiseries[Larg.]))))&amp;""</f>
        <v/>
      </c>
      <c r="B23" s="94" t="str">
        <f>COUNTIFS(Menuiseries[Larg.],$A23,Menuiseries[All.],"=0")&amp;" seuil(s) de L = "&amp;TEXT($A23,"##0,00")&amp;" ml"</f>
        <v>0 seuil(s) de L =  ml</v>
      </c>
      <c r="C23" s="84">
        <f>SUMIFS(Menuiseries[Larg.],Menuiseries[All.],"=0",Menuiseries[Larg.],$A23)</f>
        <v>0</v>
      </c>
      <c r="D23" s="96" t="str">
        <f>COUNTIFS(Menuiseries[Larg.],$A23,Menuiseries[All.],"&gt;0")&amp;" appui(s) de L = "&amp;TEXT($A23,"##0,00")&amp;" ml"</f>
        <v>0 appui(s) de L =  ml</v>
      </c>
      <c r="E23" s="84">
        <f>SUMIFS(Menuiseries[Larg.],Menuiseries[All.],"&gt;0",Menuiseries[Larg.],$A23)</f>
        <v>0</v>
      </c>
      <c r="F23" s="96" t="str">
        <f>COUNTIFS(Menuiseries[Larg.],$A23,Menuiseries[Coffre],"Coffre L béton")&amp;" coffre(s) de L = "&amp;TEXT($A23,"##0,00")&amp;" ml"</f>
        <v>0 coffre(s) de L =  ml</v>
      </c>
      <c r="G23" s="84">
        <f>COUNTIFS(Menuiseries[Larg.],$A23,Menuiseries[Coffre],"Coffre L béton")*SUMIFS(Menuiseries[Larg.],Menuiseries[Coffre],"Coffre L béton",Menuiseries[Larg.],$A23)</f>
        <v>0</v>
      </c>
      <c r="H23" s="96" t="str">
        <f>COUNTIFS(Menuiseries[Larg.],$A23,Menuiseries[Coffre],"Coffre L terre cuite")&amp;" coffre(s) de L = "&amp;TEXT($A23,"##0,00")&amp;" ml"</f>
        <v>0 coffre(s) de L =  ml</v>
      </c>
      <c r="I23" s="84">
        <f>COUNTIFS(Menuiseries[Larg.],$A23,Menuiseries[Coffre],"Coffre L terre cuite")*SUMIFS(Menuiseries[Larg.],Menuiseries[Coffre],"Coffre L terrecuite",Menuiseries[Larg.],$A23)</f>
        <v>0</v>
      </c>
      <c r="J23" s="96" t="str">
        <f>COUNTIFS(Menuiseries[Larg.],$A23,Menuiseries[Coffre],"Coffre tunnel terre cuite")&amp;" coffre(s) de L = "&amp;TEXT($A23,"##0,00")&amp;" ml"</f>
        <v>0 coffre(s) de L =  ml</v>
      </c>
      <c r="K23" s="84">
        <f>COUNTIFS(Menuiseries[Larg.],$A23,Menuiseries[Coffre],"Coffre tunnel terre cuite")*SUMIFS(Menuiseries[Larg.],Menuiseries[Coffre],"Coffre tunnel terrecuite",Menuiseries[Larg.],$A23)</f>
        <v>0</v>
      </c>
      <c r="L23" s="96" t="str">
        <f>COUNTIFS(Menuiseries[Larg.],$A23,Menuiseries[Coffre],"Coffre tunnel fibre")&amp;" coffre(s) de L = "&amp;TEXT($A23,"##0,00")&amp;" ml"</f>
        <v>0 coffre(s) de L =  ml</v>
      </c>
      <c r="M23" s="84">
        <f>COUNTIFS(Menuiseries[Larg.],$A23,Menuiseries[Coffre],"Coffre tunnel fibre")*SUMIFS(Menuiseries[Larg.],Menuiseries[Coffre],"Coffre tunnel fibre",Menuiseries[Larg.],$A23)</f>
        <v>0</v>
      </c>
      <c r="N23" s="96" t="str">
        <f>COUNTIFS(Menuiseries[Larg.],$A23,Menuiseries[Coffre],"Réservation pour BSO")&amp;" coffre(s) de L = "&amp;TEXT($A23,"##0,00")&amp;" ml"</f>
        <v>0 coffre(s) de L =  ml</v>
      </c>
      <c r="O23" s="84">
        <f>COUNTIFS(Menuiseries[Larg.],$A23,Menuiseries[Coffre],"Réservation pour BSO")*SUMIFS(Menuiseries[Larg.],Menuiseries[Coffre],"Réservation pour BSO",Menuiseries[Larg.],$A23)</f>
        <v>0</v>
      </c>
    </row>
    <row r="24" spans="1:15" x14ac:dyDescent="0.2">
      <c r="A24" s="89" t="str">
        <f t="array" ref="A24">INDEX(Menuiseries[[#All],[Larg.]],MIN(IF(COUNTIF(A$1:A23,Menuiseries[Larg.])=0,ROW(Menuiseries[Larg.]))))&amp;""</f>
        <v/>
      </c>
      <c r="B24" s="94" t="str">
        <f>COUNTIFS(Menuiseries[Larg.],$A24,Menuiseries[All.],"=0")&amp;" seuil(s) de L = "&amp;TEXT($A24,"##0,00")&amp;" ml"</f>
        <v>0 seuil(s) de L =  ml</v>
      </c>
      <c r="C24" s="84">
        <f>SUMIFS(Menuiseries[Larg.],Menuiseries[All.],"=0",Menuiseries[Larg.],$A24)</f>
        <v>0</v>
      </c>
      <c r="D24" s="96" t="str">
        <f>COUNTIFS(Menuiseries[Larg.],$A24,Menuiseries[All.],"&gt;0")&amp;" appui(s) de L = "&amp;TEXT($A24,"##0,00")&amp;" ml"</f>
        <v>0 appui(s) de L =  ml</v>
      </c>
      <c r="E24" s="84">
        <f>SUMIFS(Menuiseries[Larg.],Menuiseries[All.],"&gt;0",Menuiseries[Larg.],$A24)</f>
        <v>0</v>
      </c>
      <c r="F24" s="96" t="str">
        <f>COUNTIFS(Menuiseries[Larg.],$A24,Menuiseries[Coffre],"Coffre L béton")&amp;" coffre(s) de L = "&amp;TEXT($A24,"##0,00")&amp;" ml"</f>
        <v>0 coffre(s) de L =  ml</v>
      </c>
      <c r="G24" s="84">
        <f>COUNTIFS(Menuiseries[Larg.],$A24,Menuiseries[Coffre],"Coffre L béton")*SUMIFS(Menuiseries[Larg.],Menuiseries[Coffre],"Coffre L béton",Menuiseries[Larg.],$A24)</f>
        <v>0</v>
      </c>
      <c r="H24" s="96" t="str">
        <f>COUNTIFS(Menuiseries[Larg.],$A24,Menuiseries[Coffre],"Coffre L terre cuite")&amp;" coffre(s) de L = "&amp;TEXT($A24,"##0,00")&amp;" ml"</f>
        <v>0 coffre(s) de L =  ml</v>
      </c>
      <c r="I24" s="84">
        <f>COUNTIFS(Menuiseries[Larg.],$A24,Menuiseries[Coffre],"Coffre L terre cuite")*SUMIFS(Menuiseries[Larg.],Menuiseries[Coffre],"Coffre L terrecuite",Menuiseries[Larg.],$A24)</f>
        <v>0</v>
      </c>
      <c r="J24" s="96" t="str">
        <f>COUNTIFS(Menuiseries[Larg.],$A24,Menuiseries[Coffre],"Coffre tunnel terre cuite")&amp;" coffre(s) de L = "&amp;TEXT($A24,"##0,00")&amp;" ml"</f>
        <v>0 coffre(s) de L =  ml</v>
      </c>
      <c r="K24" s="84">
        <f>COUNTIFS(Menuiseries[Larg.],$A24,Menuiseries[Coffre],"Coffre tunnel terre cuite")*SUMIFS(Menuiseries[Larg.],Menuiseries[Coffre],"Coffre tunnel terrecuite",Menuiseries[Larg.],$A24)</f>
        <v>0</v>
      </c>
      <c r="L24" s="96" t="str">
        <f>COUNTIFS(Menuiseries[Larg.],$A24,Menuiseries[Coffre],"Coffre tunnel fibre")&amp;" coffre(s) de L = "&amp;TEXT($A24,"##0,00")&amp;" ml"</f>
        <v>0 coffre(s) de L =  ml</v>
      </c>
      <c r="M24" s="84">
        <f>COUNTIFS(Menuiseries[Larg.],$A24,Menuiseries[Coffre],"Coffre tunnel fibre")*SUMIFS(Menuiseries[Larg.],Menuiseries[Coffre],"Coffre tunnel fibre",Menuiseries[Larg.],$A24)</f>
        <v>0</v>
      </c>
      <c r="N24" s="96" t="str">
        <f>COUNTIFS(Menuiseries[Larg.],$A24,Menuiseries[Coffre],"Réservation pour BSO")&amp;" coffre(s) de L = "&amp;TEXT($A24,"##0,00")&amp;" ml"</f>
        <v>0 coffre(s) de L =  ml</v>
      </c>
      <c r="O24" s="84">
        <f>COUNTIFS(Menuiseries[Larg.],$A24,Menuiseries[Coffre],"Réservation pour BSO")*SUMIFS(Menuiseries[Larg.],Menuiseries[Coffre],"Réservation pour BSO",Menuiseries[Larg.],$A24)</f>
        <v>0</v>
      </c>
    </row>
    <row r="25" spans="1:15" x14ac:dyDescent="0.2">
      <c r="A25" s="89" t="str">
        <f t="array" ref="A25">INDEX(Menuiseries[[#All],[Larg.]],MIN(IF(COUNTIF(A$1:A24,Menuiseries[Larg.])=0,ROW(Menuiseries[Larg.]))))&amp;""</f>
        <v/>
      </c>
      <c r="B25" s="94" t="str">
        <f>COUNTIFS(Menuiseries[Larg.],$A25,Menuiseries[All.],"=0")&amp;" seuil(s) de L = "&amp;TEXT($A25,"##0,00")&amp;" ml"</f>
        <v>0 seuil(s) de L =  ml</v>
      </c>
      <c r="C25" s="84">
        <f>SUMIFS(Menuiseries[Larg.],Menuiseries[All.],"=0",Menuiseries[Larg.],$A25)</f>
        <v>0</v>
      </c>
      <c r="D25" s="96" t="str">
        <f>COUNTIFS(Menuiseries[Larg.],$A25,Menuiseries[All.],"&gt;0")&amp;" appui(s) de L = "&amp;TEXT($A25,"##0,00")&amp;" ml"</f>
        <v>0 appui(s) de L =  ml</v>
      </c>
      <c r="E25" s="84">
        <f>SUMIFS(Menuiseries[Larg.],Menuiseries[All.],"&gt;0",Menuiseries[Larg.],$A25)</f>
        <v>0</v>
      </c>
      <c r="F25" s="96" t="str">
        <f>COUNTIFS(Menuiseries[Larg.],$A25,Menuiseries[Coffre],"Coffre L béton")&amp;" coffre(s) de L = "&amp;TEXT($A25,"##0,00")&amp;" ml"</f>
        <v>0 coffre(s) de L =  ml</v>
      </c>
      <c r="G25" s="84">
        <f>COUNTIFS(Menuiseries[Larg.],$A25,Menuiseries[Coffre],"Coffre L béton")*SUMIFS(Menuiseries[Larg.],Menuiseries[Coffre],"Coffre L béton",Menuiseries[Larg.],$A25)</f>
        <v>0</v>
      </c>
      <c r="H25" s="96" t="str">
        <f>COUNTIFS(Menuiseries[Larg.],$A25,Menuiseries[Coffre],"Coffre L terre cuite")&amp;" coffre(s) de L = "&amp;TEXT($A25,"##0,00")&amp;" ml"</f>
        <v>0 coffre(s) de L =  ml</v>
      </c>
      <c r="I25" s="84">
        <f>COUNTIFS(Menuiseries[Larg.],$A25,Menuiseries[Coffre],"Coffre L terre cuite")*SUMIFS(Menuiseries[Larg.],Menuiseries[Coffre],"Coffre L terrecuite",Menuiseries[Larg.],$A25)</f>
        <v>0</v>
      </c>
      <c r="J25" s="96" t="str">
        <f>COUNTIFS(Menuiseries[Larg.],$A25,Menuiseries[Coffre],"Coffre tunnel terre cuite")&amp;" coffre(s) de L = "&amp;TEXT($A25,"##0,00")&amp;" ml"</f>
        <v>0 coffre(s) de L =  ml</v>
      </c>
      <c r="K25" s="84">
        <f>COUNTIFS(Menuiseries[Larg.],$A25,Menuiseries[Coffre],"Coffre tunnel terre cuite")*SUMIFS(Menuiseries[Larg.],Menuiseries[Coffre],"Coffre tunnel terrecuite",Menuiseries[Larg.],$A25)</f>
        <v>0</v>
      </c>
      <c r="L25" s="96" t="str">
        <f>COUNTIFS(Menuiseries[Larg.],$A25,Menuiseries[Coffre],"Coffre tunnel fibre")&amp;" coffre(s) de L = "&amp;TEXT($A25,"##0,00")&amp;" ml"</f>
        <v>0 coffre(s) de L =  ml</v>
      </c>
      <c r="M25" s="84">
        <f>COUNTIFS(Menuiseries[Larg.],$A25,Menuiseries[Coffre],"Coffre tunnel fibre")*SUMIFS(Menuiseries[Larg.],Menuiseries[Coffre],"Coffre tunnel fibre",Menuiseries[Larg.],$A25)</f>
        <v>0</v>
      </c>
      <c r="N25" s="96" t="str">
        <f>COUNTIFS(Menuiseries[Larg.],$A25,Menuiseries[Coffre],"Réservation pour BSO")&amp;" coffre(s) de L = "&amp;TEXT($A25,"##0,00")&amp;" ml"</f>
        <v>0 coffre(s) de L =  ml</v>
      </c>
      <c r="O25" s="84">
        <f>COUNTIFS(Menuiseries[Larg.],$A25,Menuiseries[Coffre],"Réservation pour BSO")*SUMIFS(Menuiseries[Larg.],Menuiseries[Coffre],"Réservation pour BSO",Menuiseries[Larg.],$A25)</f>
        <v>0</v>
      </c>
    </row>
    <row r="26" spans="1:15" x14ac:dyDescent="0.2">
      <c r="A26" s="89" t="str">
        <f t="array" ref="A26">INDEX(Menuiseries[[#All],[Larg.]],MIN(IF(COUNTIF(A$1:A25,Menuiseries[Larg.])=0,ROW(Menuiseries[Larg.]))))&amp;""</f>
        <v/>
      </c>
      <c r="B26" s="94" t="str">
        <f>COUNTIFS(Menuiseries[Larg.],$A26,Menuiseries[All.],"=0")&amp;" seuil(s) de L = "&amp;TEXT($A26,"##0,00")&amp;" ml"</f>
        <v>0 seuil(s) de L =  ml</v>
      </c>
      <c r="C26" s="84">
        <f>SUMIFS(Menuiseries[Larg.],Menuiseries[All.],"=0",Menuiseries[Larg.],$A26)</f>
        <v>0</v>
      </c>
      <c r="D26" s="96" t="str">
        <f>COUNTIFS(Menuiseries[Larg.],$A26,Menuiseries[All.],"&gt;0")&amp;" appui(s) de L = "&amp;TEXT($A26,"##0,00")&amp;" ml"</f>
        <v>0 appui(s) de L =  ml</v>
      </c>
      <c r="E26" s="84">
        <f>SUMIFS(Menuiseries[Larg.],Menuiseries[All.],"&gt;0",Menuiseries[Larg.],$A26)</f>
        <v>0</v>
      </c>
      <c r="F26" s="96" t="str">
        <f>COUNTIFS(Menuiseries[Larg.],$A26,Menuiseries[Coffre],"Coffre L béton")&amp;" coffre(s) de L = "&amp;TEXT($A26,"##0,00")&amp;" ml"</f>
        <v>0 coffre(s) de L =  ml</v>
      </c>
      <c r="G26" s="84">
        <f>COUNTIFS(Menuiseries[Larg.],$A26,Menuiseries[Coffre],"Coffre L béton")*SUMIFS(Menuiseries[Larg.],Menuiseries[Coffre],"Coffre L béton",Menuiseries[Larg.],$A26)</f>
        <v>0</v>
      </c>
      <c r="H26" s="96" t="str">
        <f>COUNTIFS(Menuiseries[Larg.],$A26,Menuiseries[Coffre],"Coffre L terre cuite")&amp;" coffre(s) de L = "&amp;TEXT($A26,"##0,00")&amp;" ml"</f>
        <v>0 coffre(s) de L =  ml</v>
      </c>
      <c r="I26" s="84">
        <f>COUNTIFS(Menuiseries[Larg.],$A26,Menuiseries[Coffre],"Coffre L terre cuite")*SUMIFS(Menuiseries[Larg.],Menuiseries[Coffre],"Coffre L terrecuite",Menuiseries[Larg.],$A26)</f>
        <v>0</v>
      </c>
      <c r="J26" s="96" t="str">
        <f>COUNTIFS(Menuiseries[Larg.],$A26,Menuiseries[Coffre],"Coffre tunnel terre cuite")&amp;" coffre(s) de L = "&amp;TEXT($A26,"##0,00")&amp;" ml"</f>
        <v>0 coffre(s) de L =  ml</v>
      </c>
      <c r="K26" s="84">
        <f>COUNTIFS(Menuiseries[Larg.],$A26,Menuiseries[Coffre],"Coffre tunnel terre cuite")*SUMIFS(Menuiseries[Larg.],Menuiseries[Coffre],"Coffre tunnel terrecuite",Menuiseries[Larg.],$A26)</f>
        <v>0</v>
      </c>
      <c r="L26" s="96" t="str">
        <f>COUNTIFS(Menuiseries[Larg.],$A26,Menuiseries[Coffre],"Coffre tunnel fibre")&amp;" coffre(s) de L = "&amp;TEXT($A26,"##0,00")&amp;" ml"</f>
        <v>0 coffre(s) de L =  ml</v>
      </c>
      <c r="M26" s="84">
        <f>COUNTIFS(Menuiseries[Larg.],$A26,Menuiseries[Coffre],"Coffre tunnel fibre")*SUMIFS(Menuiseries[Larg.],Menuiseries[Coffre],"Coffre tunnel fibre",Menuiseries[Larg.],$A26)</f>
        <v>0</v>
      </c>
      <c r="N26" s="96" t="str">
        <f>COUNTIFS(Menuiseries[Larg.],$A26,Menuiseries[Coffre],"Réservation pour BSO")&amp;" coffre(s) de L = "&amp;TEXT($A26,"##0,00")&amp;" ml"</f>
        <v>0 coffre(s) de L =  ml</v>
      </c>
      <c r="O26" s="84">
        <f>COUNTIFS(Menuiseries[Larg.],$A26,Menuiseries[Coffre],"Réservation pour BSO")*SUMIFS(Menuiseries[Larg.],Menuiseries[Coffre],"Réservation pour BSO",Menuiseries[Larg.],$A26)</f>
        <v>0</v>
      </c>
    </row>
    <row r="27" spans="1:15" x14ac:dyDescent="0.2">
      <c r="A27" s="89" t="str">
        <f t="array" ref="A27">INDEX(Menuiseries[[#All],[Larg.]],MIN(IF(COUNTIF(A$1:A26,Menuiseries[Larg.])=0,ROW(Menuiseries[Larg.]))))&amp;""</f>
        <v/>
      </c>
      <c r="B27" s="94" t="str">
        <f>COUNTIFS(Menuiseries[Larg.],$A27,Menuiseries[All.],"=0")&amp;" seuil(s) de L = "&amp;TEXT($A27,"##0,00")&amp;" ml"</f>
        <v>0 seuil(s) de L =  ml</v>
      </c>
      <c r="C27" s="84">
        <f>SUMIFS(Menuiseries[Larg.],Menuiseries[All.],"=0",Menuiseries[Larg.],$A27)</f>
        <v>0</v>
      </c>
      <c r="D27" s="96" t="str">
        <f>COUNTIFS(Menuiseries[Larg.],$A27,Menuiseries[All.],"&gt;0")&amp;" appui(s) de L = "&amp;TEXT($A27,"##0,00")&amp;" ml"</f>
        <v>0 appui(s) de L =  ml</v>
      </c>
      <c r="E27" s="84">
        <f>SUMIFS(Menuiseries[Larg.],Menuiseries[All.],"&gt;0",Menuiseries[Larg.],$A27)</f>
        <v>0</v>
      </c>
      <c r="F27" s="96" t="str">
        <f>COUNTIFS(Menuiseries[Larg.],$A27,Menuiseries[Coffre],"Coffre L béton")&amp;" coffre(s) de L = "&amp;TEXT($A27,"##0,00")&amp;" ml"</f>
        <v>0 coffre(s) de L =  ml</v>
      </c>
      <c r="G27" s="84">
        <f>COUNTIFS(Menuiseries[Larg.],$A27,Menuiseries[Coffre],"Coffre L béton")*SUMIFS(Menuiseries[Larg.],Menuiseries[Coffre],"Coffre L béton",Menuiseries[Larg.],$A27)</f>
        <v>0</v>
      </c>
      <c r="H27" s="96" t="str">
        <f>COUNTIFS(Menuiseries[Larg.],$A27,Menuiseries[Coffre],"Coffre L terre cuite")&amp;" coffre(s) de L = "&amp;TEXT($A27,"##0,00")&amp;" ml"</f>
        <v>0 coffre(s) de L =  ml</v>
      </c>
      <c r="I27" s="84">
        <f>COUNTIFS(Menuiseries[Larg.],$A27,Menuiseries[Coffre],"Coffre L terre cuite")*SUMIFS(Menuiseries[Larg.],Menuiseries[Coffre],"Coffre L terrecuite",Menuiseries[Larg.],$A27)</f>
        <v>0</v>
      </c>
      <c r="J27" s="96" t="str">
        <f>COUNTIFS(Menuiseries[Larg.],$A27,Menuiseries[Coffre],"Coffre tunnel terre cuite")&amp;" coffre(s) de L = "&amp;TEXT($A27,"##0,00")&amp;" ml"</f>
        <v>0 coffre(s) de L =  ml</v>
      </c>
      <c r="K27" s="84">
        <f>COUNTIFS(Menuiseries[Larg.],$A27,Menuiseries[Coffre],"Coffre tunnel terre cuite")*SUMIFS(Menuiseries[Larg.],Menuiseries[Coffre],"Coffre tunnel terrecuite",Menuiseries[Larg.],$A27)</f>
        <v>0</v>
      </c>
      <c r="L27" s="96" t="str">
        <f>COUNTIFS(Menuiseries[Larg.],$A27,Menuiseries[Coffre],"Coffre tunnel fibre")&amp;" coffre(s) de L = "&amp;TEXT($A27,"##0,00")&amp;" ml"</f>
        <v>0 coffre(s) de L =  ml</v>
      </c>
      <c r="M27" s="84">
        <f>COUNTIFS(Menuiseries[Larg.],$A27,Menuiseries[Coffre],"Coffre tunnel fibre")*SUMIFS(Menuiseries[Larg.],Menuiseries[Coffre],"Coffre tunnel fibre",Menuiseries[Larg.],$A27)</f>
        <v>0</v>
      </c>
      <c r="N27" s="96" t="str">
        <f>COUNTIFS(Menuiseries[Larg.],$A27,Menuiseries[Coffre],"Réservation pour BSO")&amp;" coffre(s) de L = "&amp;TEXT($A27,"##0,00")&amp;" ml"</f>
        <v>0 coffre(s) de L =  ml</v>
      </c>
      <c r="O27" s="84">
        <f>COUNTIFS(Menuiseries[Larg.],$A27,Menuiseries[Coffre],"Réservation pour BSO")*SUMIFS(Menuiseries[Larg.],Menuiseries[Coffre],"Réservation pour BSO",Menuiseries[Larg.],$A27)</f>
        <v>0</v>
      </c>
    </row>
    <row r="28" spans="1:15" x14ac:dyDescent="0.2">
      <c r="A28" s="89" t="str">
        <f t="array" ref="A28">INDEX(Menuiseries[[#All],[Larg.]],MIN(IF(COUNTIF(A$1:A27,Menuiseries[Larg.])=0,ROW(Menuiseries[Larg.]))))&amp;""</f>
        <v/>
      </c>
      <c r="B28" s="94" t="str">
        <f>COUNTIFS(Menuiseries[Larg.],$A28,Menuiseries[All.],"=0")&amp;" seuil(s) de L = "&amp;TEXT($A28,"##0,00")&amp;" ml"</f>
        <v>0 seuil(s) de L =  ml</v>
      </c>
      <c r="C28" s="84">
        <f>SUMIFS(Menuiseries[Larg.],Menuiseries[All.],"=0",Menuiseries[Larg.],$A28)</f>
        <v>0</v>
      </c>
      <c r="D28" s="96" t="str">
        <f>COUNTIFS(Menuiseries[Larg.],$A28,Menuiseries[All.],"&gt;0")&amp;" appui(s) de L = "&amp;TEXT($A28,"##0,00")&amp;" ml"</f>
        <v>0 appui(s) de L =  ml</v>
      </c>
      <c r="E28" s="84">
        <f>SUMIFS(Menuiseries[Larg.],Menuiseries[All.],"&gt;0",Menuiseries[Larg.],$A28)</f>
        <v>0</v>
      </c>
      <c r="F28" s="96" t="str">
        <f>COUNTIFS(Menuiseries[Larg.],$A28,Menuiseries[Coffre],"Coffre L béton")&amp;" coffre(s) de L = "&amp;TEXT($A28,"##0,00")&amp;" ml"</f>
        <v>0 coffre(s) de L =  ml</v>
      </c>
      <c r="G28" s="84">
        <f>COUNTIFS(Menuiseries[Larg.],$A28,Menuiseries[Coffre],"Coffre L béton")*SUMIFS(Menuiseries[Larg.],Menuiseries[Coffre],"Coffre L béton",Menuiseries[Larg.],$A28)</f>
        <v>0</v>
      </c>
      <c r="H28" s="96" t="str">
        <f>COUNTIFS(Menuiseries[Larg.],$A28,Menuiseries[Coffre],"Coffre L terre cuite")&amp;" coffre(s) de L = "&amp;TEXT($A28,"##0,00")&amp;" ml"</f>
        <v>0 coffre(s) de L =  ml</v>
      </c>
      <c r="I28" s="84">
        <f>COUNTIFS(Menuiseries[Larg.],$A28,Menuiseries[Coffre],"Coffre L terre cuite")*SUMIFS(Menuiseries[Larg.],Menuiseries[Coffre],"Coffre L terrecuite",Menuiseries[Larg.],$A28)</f>
        <v>0</v>
      </c>
      <c r="J28" s="96" t="str">
        <f>COUNTIFS(Menuiseries[Larg.],$A28,Menuiseries[Coffre],"Coffre tunnel terre cuite")&amp;" coffre(s) de L = "&amp;TEXT($A28,"##0,00")&amp;" ml"</f>
        <v>0 coffre(s) de L =  ml</v>
      </c>
      <c r="K28" s="84">
        <f>COUNTIFS(Menuiseries[Larg.],$A28,Menuiseries[Coffre],"Coffre tunnel terre cuite")*SUMIFS(Menuiseries[Larg.],Menuiseries[Coffre],"Coffre tunnel terrecuite",Menuiseries[Larg.],$A28)</f>
        <v>0</v>
      </c>
      <c r="L28" s="96" t="str">
        <f>COUNTIFS(Menuiseries[Larg.],$A28,Menuiseries[Coffre],"Coffre tunnel fibre")&amp;" coffre(s) de L = "&amp;TEXT($A28,"##0,00")&amp;" ml"</f>
        <v>0 coffre(s) de L =  ml</v>
      </c>
      <c r="M28" s="84">
        <f>COUNTIFS(Menuiseries[Larg.],$A28,Menuiseries[Coffre],"Coffre tunnel fibre")*SUMIFS(Menuiseries[Larg.],Menuiseries[Coffre],"Coffre tunnel fibre",Menuiseries[Larg.],$A28)</f>
        <v>0</v>
      </c>
      <c r="N28" s="96" t="str">
        <f>COUNTIFS(Menuiseries[Larg.],$A28,Menuiseries[Coffre],"Réservation pour BSO")&amp;" coffre(s) de L = "&amp;TEXT($A28,"##0,00")&amp;" ml"</f>
        <v>0 coffre(s) de L =  ml</v>
      </c>
      <c r="O28" s="84">
        <f>COUNTIFS(Menuiseries[Larg.],$A28,Menuiseries[Coffre],"Réservation pour BSO")*SUMIFS(Menuiseries[Larg.],Menuiseries[Coffre],"Réservation pour BSO",Menuiseries[Larg.],$A28)</f>
        <v>0</v>
      </c>
    </row>
    <row r="29" spans="1:15" x14ac:dyDescent="0.2">
      <c r="A29" s="89" t="str">
        <f t="array" ref="A29">INDEX(Menuiseries[[#All],[Larg.]],MIN(IF(COUNTIF(A$1:A28,Menuiseries[Larg.])=0,ROW(Menuiseries[Larg.]))))&amp;""</f>
        <v/>
      </c>
      <c r="B29" s="94" t="str">
        <f>COUNTIFS(Menuiseries[Larg.],$A29,Menuiseries[All.],"=0")&amp;" seuil(s) de L = "&amp;TEXT($A29,"##0,00")&amp;" ml"</f>
        <v>0 seuil(s) de L =  ml</v>
      </c>
      <c r="C29" s="84">
        <f>SUMIFS(Menuiseries[Larg.],Menuiseries[All.],"=0",Menuiseries[Larg.],$A29)</f>
        <v>0</v>
      </c>
      <c r="D29" s="96" t="str">
        <f>COUNTIFS(Menuiseries[Larg.],$A29,Menuiseries[All.],"&gt;0")&amp;" appui(s) de L = "&amp;TEXT($A29,"##0,00")&amp;" ml"</f>
        <v>0 appui(s) de L =  ml</v>
      </c>
      <c r="E29" s="84">
        <f>SUMIFS(Menuiseries[Larg.],Menuiseries[All.],"&gt;0",Menuiseries[Larg.],$A29)</f>
        <v>0</v>
      </c>
      <c r="F29" s="96" t="str">
        <f>COUNTIFS(Menuiseries[Larg.],$A29,Menuiseries[Coffre],"Coffre L béton")&amp;" coffre(s) de L = "&amp;TEXT($A29,"##0,00")&amp;" ml"</f>
        <v>0 coffre(s) de L =  ml</v>
      </c>
      <c r="G29" s="84">
        <f>COUNTIFS(Menuiseries[Larg.],$A29,Menuiseries[Coffre],"Coffre L béton")*SUMIFS(Menuiseries[Larg.],Menuiseries[Coffre],"Coffre L béton",Menuiseries[Larg.],$A29)</f>
        <v>0</v>
      </c>
      <c r="H29" s="96" t="str">
        <f>COUNTIFS(Menuiseries[Larg.],$A29,Menuiseries[Coffre],"Coffre L terre cuite")&amp;" coffre(s) de L = "&amp;TEXT($A29,"##0,00")&amp;" ml"</f>
        <v>0 coffre(s) de L =  ml</v>
      </c>
      <c r="I29" s="84">
        <f>COUNTIFS(Menuiseries[Larg.],$A29,Menuiseries[Coffre],"Coffre L terre cuite")*SUMIFS(Menuiseries[Larg.],Menuiseries[Coffre],"Coffre L terrecuite",Menuiseries[Larg.],$A29)</f>
        <v>0</v>
      </c>
      <c r="J29" s="96" t="str">
        <f>COUNTIFS(Menuiseries[Larg.],$A29,Menuiseries[Coffre],"Coffre tunnel terre cuite")&amp;" coffre(s) de L = "&amp;TEXT($A29,"##0,00")&amp;" ml"</f>
        <v>0 coffre(s) de L =  ml</v>
      </c>
      <c r="K29" s="84">
        <f>COUNTIFS(Menuiseries[Larg.],$A29,Menuiseries[Coffre],"Coffre tunnel terre cuite")*SUMIFS(Menuiseries[Larg.],Menuiseries[Coffre],"Coffre tunnel terrecuite",Menuiseries[Larg.],$A29)</f>
        <v>0</v>
      </c>
      <c r="L29" s="96" t="str">
        <f>COUNTIFS(Menuiseries[Larg.],$A29,Menuiseries[Coffre],"Coffre tunnel fibre")&amp;" coffre(s) de L = "&amp;TEXT($A29,"##0,00")&amp;" ml"</f>
        <v>0 coffre(s) de L =  ml</v>
      </c>
      <c r="M29" s="84">
        <f>COUNTIFS(Menuiseries[Larg.],$A29,Menuiseries[Coffre],"Coffre tunnel fibre")*SUMIFS(Menuiseries[Larg.],Menuiseries[Coffre],"Coffre tunnel fibre",Menuiseries[Larg.],$A29)</f>
        <v>0</v>
      </c>
      <c r="N29" s="96" t="str">
        <f>COUNTIFS(Menuiseries[Larg.],$A29,Menuiseries[Coffre],"Réservation pour BSO")&amp;" coffre(s) de L = "&amp;TEXT($A29,"##0,00")&amp;" ml"</f>
        <v>0 coffre(s) de L =  ml</v>
      </c>
      <c r="O29" s="84">
        <f>COUNTIFS(Menuiseries[Larg.],$A29,Menuiseries[Coffre],"Réservation pour BSO")*SUMIFS(Menuiseries[Larg.],Menuiseries[Coffre],"Réservation pour BSO",Menuiseries[Larg.],$A29)</f>
        <v>0</v>
      </c>
    </row>
    <row r="30" spans="1:15" x14ac:dyDescent="0.2">
      <c r="A30" s="89" t="str">
        <f t="array" ref="A30">INDEX(Menuiseries[[#All],[Larg.]],MIN(IF(COUNTIF(A$1:A29,Menuiseries[Larg.])=0,ROW(Menuiseries[Larg.]))))&amp;""</f>
        <v/>
      </c>
      <c r="B30" s="94" t="str">
        <f>COUNTIFS(Menuiseries[Larg.],$A30,Menuiseries[All.],"=0")&amp;" seuil(s) de L = "&amp;TEXT($A30,"##0,00")&amp;" ml"</f>
        <v>0 seuil(s) de L =  ml</v>
      </c>
      <c r="C30" s="84">
        <f>SUMIFS(Menuiseries[Larg.],Menuiseries[All.],"=0",Menuiseries[Larg.],$A30)</f>
        <v>0</v>
      </c>
      <c r="D30" s="96" t="str">
        <f>COUNTIFS(Menuiseries[Larg.],$A30,Menuiseries[All.],"&gt;0")&amp;" appui(s) de L = "&amp;TEXT($A30,"##0,00")&amp;" ml"</f>
        <v>0 appui(s) de L =  ml</v>
      </c>
      <c r="E30" s="84">
        <f>SUMIFS(Menuiseries[Larg.],Menuiseries[All.],"&gt;0",Menuiseries[Larg.],$A30)</f>
        <v>0</v>
      </c>
      <c r="F30" s="96" t="str">
        <f>COUNTIFS(Menuiseries[Larg.],$A30,Menuiseries[Coffre],"Coffre L béton")&amp;" coffre(s) de L = "&amp;TEXT($A30,"##0,00")&amp;" ml"</f>
        <v>0 coffre(s) de L =  ml</v>
      </c>
      <c r="G30" s="84">
        <f>COUNTIFS(Menuiseries[Larg.],$A30,Menuiseries[Coffre],"Coffre L béton")*SUMIFS(Menuiseries[Larg.],Menuiseries[Coffre],"Coffre L béton",Menuiseries[Larg.],$A30)</f>
        <v>0</v>
      </c>
      <c r="H30" s="96" t="str">
        <f>COUNTIFS(Menuiseries[Larg.],$A30,Menuiseries[Coffre],"Coffre L terre cuite")&amp;" coffre(s) de L = "&amp;TEXT($A30,"##0,00")&amp;" ml"</f>
        <v>0 coffre(s) de L =  ml</v>
      </c>
      <c r="I30" s="84">
        <f>COUNTIFS(Menuiseries[Larg.],$A30,Menuiseries[Coffre],"Coffre L terre cuite")*SUMIFS(Menuiseries[Larg.],Menuiseries[Coffre],"Coffre L terrecuite",Menuiseries[Larg.],$A30)</f>
        <v>0</v>
      </c>
      <c r="J30" s="96" t="str">
        <f>COUNTIFS(Menuiseries[Larg.],$A30,Menuiseries[Coffre],"Coffre tunnel terre cuite")&amp;" coffre(s) de L = "&amp;TEXT($A30,"##0,00")&amp;" ml"</f>
        <v>0 coffre(s) de L =  ml</v>
      </c>
      <c r="K30" s="84">
        <f>COUNTIFS(Menuiseries[Larg.],$A30,Menuiseries[Coffre],"Coffre tunnel terre cuite")*SUMIFS(Menuiseries[Larg.],Menuiseries[Coffre],"Coffre tunnel terrecuite",Menuiseries[Larg.],$A30)</f>
        <v>0</v>
      </c>
      <c r="L30" s="96" t="str">
        <f>COUNTIFS(Menuiseries[Larg.],$A30,Menuiseries[Coffre],"Coffre tunnel fibre")&amp;" coffre(s) de L = "&amp;TEXT($A30,"##0,00")&amp;" ml"</f>
        <v>0 coffre(s) de L =  ml</v>
      </c>
      <c r="M30" s="84">
        <f>COUNTIFS(Menuiseries[Larg.],$A30,Menuiseries[Coffre],"Coffre tunnel fibre")*SUMIFS(Menuiseries[Larg.],Menuiseries[Coffre],"Coffre tunnel fibre",Menuiseries[Larg.],$A30)</f>
        <v>0</v>
      </c>
      <c r="N30" s="96" t="str">
        <f>COUNTIFS(Menuiseries[Larg.],$A30,Menuiseries[Coffre],"Réservation pour BSO")&amp;" coffre(s) de L = "&amp;TEXT($A30,"##0,00")&amp;" ml"</f>
        <v>0 coffre(s) de L =  ml</v>
      </c>
      <c r="O30" s="84">
        <f>COUNTIFS(Menuiseries[Larg.],$A30,Menuiseries[Coffre],"Réservation pour BSO")*SUMIFS(Menuiseries[Larg.],Menuiseries[Coffre],"Réservation pour BSO",Menuiseries[Larg.],$A30)</f>
        <v>0</v>
      </c>
    </row>
    <row r="31" spans="1:15" x14ac:dyDescent="0.2">
      <c r="A31" s="89" t="str">
        <f t="array" ref="A31">INDEX(Menuiseries[[#All],[Larg.]],MIN(IF(COUNTIF(A$1:A30,Menuiseries[Larg.])=0,ROW(Menuiseries[Larg.]))))&amp;""</f>
        <v/>
      </c>
      <c r="B31" s="94" t="str">
        <f>COUNTIFS(Menuiseries[Larg.],$A31,Menuiseries[All.],"=0")&amp;" seuil(s) de L = "&amp;TEXT($A31,"##0,00")&amp;" ml"</f>
        <v>0 seuil(s) de L =  ml</v>
      </c>
      <c r="C31" s="84">
        <f>SUMIFS(Menuiseries[Larg.],Menuiseries[All.],"=0",Menuiseries[Larg.],$A31)</f>
        <v>0</v>
      </c>
      <c r="D31" s="96" t="str">
        <f>COUNTIFS(Menuiseries[Larg.],$A31,Menuiseries[All.],"&gt;0")&amp;" appui(s) de L = "&amp;TEXT($A31,"##0,00")&amp;" ml"</f>
        <v>0 appui(s) de L =  ml</v>
      </c>
      <c r="E31" s="84">
        <f>SUMIFS(Menuiseries[Larg.],Menuiseries[All.],"&gt;0",Menuiseries[Larg.],$A31)</f>
        <v>0</v>
      </c>
      <c r="F31" s="96" t="str">
        <f>COUNTIFS(Menuiseries[Larg.],$A31,Menuiseries[Coffre],"Coffre L béton")&amp;" coffre(s) de L = "&amp;TEXT($A31,"##0,00")&amp;" ml"</f>
        <v>0 coffre(s) de L =  ml</v>
      </c>
      <c r="G31" s="84">
        <f>COUNTIFS(Menuiseries[Larg.],$A31,Menuiseries[Coffre],"Coffre L béton")*SUMIFS(Menuiseries[Larg.],Menuiseries[Coffre],"Coffre L béton",Menuiseries[Larg.],$A31)</f>
        <v>0</v>
      </c>
      <c r="H31" s="96" t="str">
        <f>COUNTIFS(Menuiseries[Larg.],$A31,Menuiseries[Coffre],"Coffre L terre cuite")&amp;" coffre(s) de L = "&amp;TEXT($A31,"##0,00")&amp;" ml"</f>
        <v>0 coffre(s) de L =  ml</v>
      </c>
      <c r="I31" s="84">
        <f>COUNTIFS(Menuiseries[Larg.],$A31,Menuiseries[Coffre],"Coffre L terre cuite")*SUMIFS(Menuiseries[Larg.],Menuiseries[Coffre],"Coffre L terrecuite",Menuiseries[Larg.],$A31)</f>
        <v>0</v>
      </c>
      <c r="J31" s="96" t="str">
        <f>COUNTIFS(Menuiseries[Larg.],$A31,Menuiseries[Coffre],"Coffre tunnel terre cuite")&amp;" coffre(s) de L = "&amp;TEXT($A31,"##0,00")&amp;" ml"</f>
        <v>0 coffre(s) de L =  ml</v>
      </c>
      <c r="K31" s="84">
        <f>COUNTIFS(Menuiseries[Larg.],$A31,Menuiseries[Coffre],"Coffre tunnel terre cuite")*SUMIFS(Menuiseries[Larg.],Menuiseries[Coffre],"Coffre tunnel terrecuite",Menuiseries[Larg.],$A31)</f>
        <v>0</v>
      </c>
      <c r="L31" s="96" t="str">
        <f>COUNTIFS(Menuiseries[Larg.],$A31,Menuiseries[Coffre],"Coffre tunnel fibre")&amp;" coffre(s) de L = "&amp;TEXT($A31,"##0,00")&amp;" ml"</f>
        <v>0 coffre(s) de L =  ml</v>
      </c>
      <c r="M31" s="84">
        <f>COUNTIFS(Menuiseries[Larg.],$A31,Menuiseries[Coffre],"Coffre tunnel fibre")*SUMIFS(Menuiseries[Larg.],Menuiseries[Coffre],"Coffre tunnel fibre",Menuiseries[Larg.],$A31)</f>
        <v>0</v>
      </c>
      <c r="N31" s="96" t="str">
        <f>COUNTIFS(Menuiseries[Larg.],$A31,Menuiseries[Coffre],"Réservation pour BSO")&amp;" coffre(s) de L = "&amp;TEXT($A31,"##0,00")&amp;" ml"</f>
        <v>0 coffre(s) de L =  ml</v>
      </c>
      <c r="O31" s="84">
        <f>COUNTIFS(Menuiseries[Larg.],$A31,Menuiseries[Coffre],"Réservation pour BSO")*SUMIFS(Menuiseries[Larg.],Menuiseries[Coffre],"Réservation pour BSO",Menuiseries[Larg.],$A31)</f>
        <v>0</v>
      </c>
    </row>
    <row r="32" spans="1:15" x14ac:dyDescent="0.2">
      <c r="A32" s="89" t="str">
        <f t="array" ref="A32">INDEX(Menuiseries[[#All],[Larg.]],MIN(IF(COUNTIF(A$1:A31,Menuiseries[Larg.])=0,ROW(Menuiseries[Larg.]))))&amp;""</f>
        <v/>
      </c>
      <c r="B32" s="94" t="str">
        <f>COUNTIFS(Menuiseries[Larg.],$A32,Menuiseries[All.],"=0")&amp;" seuil(s) de L = "&amp;TEXT($A32,"##0,00")&amp;" ml"</f>
        <v>0 seuil(s) de L =  ml</v>
      </c>
      <c r="C32" s="84">
        <f>SUMIFS(Menuiseries[Larg.],Menuiseries[All.],"=0",Menuiseries[Larg.],$A32)</f>
        <v>0</v>
      </c>
      <c r="D32" s="96" t="str">
        <f>COUNTIFS(Menuiseries[Larg.],$A32,Menuiseries[All.],"&gt;0")&amp;" appui(s) de L = "&amp;TEXT($A32,"##0,00")&amp;" ml"</f>
        <v>0 appui(s) de L =  ml</v>
      </c>
      <c r="E32" s="84">
        <f>SUMIFS(Menuiseries[Larg.],Menuiseries[All.],"&gt;0",Menuiseries[Larg.],$A32)</f>
        <v>0</v>
      </c>
      <c r="F32" s="96" t="str">
        <f>COUNTIFS(Menuiseries[Larg.],$A32,Menuiseries[Coffre],"Coffre L béton")&amp;" coffre(s) de L = "&amp;TEXT($A32,"##0,00")&amp;" ml"</f>
        <v>0 coffre(s) de L =  ml</v>
      </c>
      <c r="G32" s="84">
        <f>COUNTIFS(Menuiseries[Larg.],$A32,Menuiseries[Coffre],"Coffre L béton")*SUMIFS(Menuiseries[Larg.],Menuiseries[Coffre],"Coffre L béton",Menuiseries[Larg.],$A32)</f>
        <v>0</v>
      </c>
      <c r="H32" s="96" t="str">
        <f>COUNTIFS(Menuiseries[Larg.],$A32,Menuiseries[Coffre],"Coffre L terre cuite")&amp;" coffre(s) de L = "&amp;TEXT($A32,"##0,00")&amp;" ml"</f>
        <v>0 coffre(s) de L =  ml</v>
      </c>
      <c r="I32" s="84">
        <f>COUNTIFS(Menuiseries[Larg.],$A32,Menuiseries[Coffre],"Coffre L terre cuite")*SUMIFS(Menuiseries[Larg.],Menuiseries[Coffre],"Coffre L terrecuite",Menuiseries[Larg.],$A32)</f>
        <v>0</v>
      </c>
      <c r="J32" s="96" t="str">
        <f>COUNTIFS(Menuiseries[Larg.],$A32,Menuiseries[Coffre],"Coffre tunnel terre cuite")&amp;" coffre(s) de L = "&amp;TEXT($A32,"##0,00")&amp;" ml"</f>
        <v>0 coffre(s) de L =  ml</v>
      </c>
      <c r="K32" s="84">
        <f>COUNTIFS(Menuiseries[Larg.],$A32,Menuiseries[Coffre],"Coffre tunnel terre cuite")*SUMIFS(Menuiseries[Larg.],Menuiseries[Coffre],"Coffre tunnel terrecuite",Menuiseries[Larg.],$A32)</f>
        <v>0</v>
      </c>
      <c r="L32" s="96" t="str">
        <f>COUNTIFS(Menuiseries[Larg.],$A32,Menuiseries[Coffre],"Coffre tunnel fibre")&amp;" coffre(s) de L = "&amp;TEXT($A32,"##0,00")&amp;" ml"</f>
        <v>0 coffre(s) de L =  ml</v>
      </c>
      <c r="M32" s="84">
        <f>COUNTIFS(Menuiseries[Larg.],$A32,Menuiseries[Coffre],"Coffre tunnel fibre")*SUMIFS(Menuiseries[Larg.],Menuiseries[Coffre],"Coffre tunnel fibre",Menuiseries[Larg.],$A32)</f>
        <v>0</v>
      </c>
      <c r="N32" s="96" t="str">
        <f>COUNTIFS(Menuiseries[Larg.],$A32,Menuiseries[Coffre],"Réservation pour BSO")&amp;" coffre(s) de L = "&amp;TEXT($A32,"##0,00")&amp;" ml"</f>
        <v>0 coffre(s) de L =  ml</v>
      </c>
      <c r="O32" s="84">
        <f>COUNTIFS(Menuiseries[Larg.],$A32,Menuiseries[Coffre],"Réservation pour BSO")*SUMIFS(Menuiseries[Larg.],Menuiseries[Coffre],"Réservation pour BSO",Menuiseries[Larg.],$A32)</f>
        <v>0</v>
      </c>
    </row>
    <row r="33" spans="1:15" x14ac:dyDescent="0.2">
      <c r="A33" s="89" t="str">
        <f t="array" ref="A33">INDEX(Menuiseries[[#All],[Larg.]],MIN(IF(COUNTIF(A$1:A32,Menuiseries[Larg.])=0,ROW(Menuiseries[Larg.]))))&amp;""</f>
        <v/>
      </c>
      <c r="B33" s="94" t="str">
        <f>COUNTIFS(Menuiseries[Larg.],$A33,Menuiseries[All.],"=0")&amp;" seuil(s) de L = "&amp;TEXT($A33,"##0,00")&amp;" ml"</f>
        <v>0 seuil(s) de L =  ml</v>
      </c>
      <c r="C33" s="84">
        <f>SUMIFS(Menuiseries[Larg.],Menuiseries[All.],"=0",Menuiseries[Larg.],$A33)</f>
        <v>0</v>
      </c>
      <c r="D33" s="96" t="str">
        <f>COUNTIFS(Menuiseries[Larg.],$A33,Menuiseries[All.],"&gt;0")&amp;" appui(s) de L = "&amp;TEXT($A33,"##0,00")&amp;" ml"</f>
        <v>0 appui(s) de L =  ml</v>
      </c>
      <c r="E33" s="84">
        <f>SUMIFS(Menuiseries[Larg.],Menuiseries[All.],"&gt;0",Menuiseries[Larg.],$A33)</f>
        <v>0</v>
      </c>
      <c r="F33" s="96" t="str">
        <f>COUNTIFS(Menuiseries[Larg.],$A33,Menuiseries[Coffre],"Coffre L béton")&amp;" coffre(s) de L = "&amp;TEXT($A33,"##0,00")&amp;" ml"</f>
        <v>0 coffre(s) de L =  ml</v>
      </c>
      <c r="G33" s="84">
        <f>COUNTIFS(Menuiseries[Larg.],$A33,Menuiseries[Coffre],"Coffre L béton")*SUMIFS(Menuiseries[Larg.],Menuiseries[Coffre],"Coffre L béton",Menuiseries[Larg.],$A33)</f>
        <v>0</v>
      </c>
      <c r="H33" s="96" t="str">
        <f>COUNTIFS(Menuiseries[Larg.],$A33,Menuiseries[Coffre],"Coffre L terre cuite")&amp;" coffre(s) de L = "&amp;TEXT($A33,"##0,00")&amp;" ml"</f>
        <v>0 coffre(s) de L =  ml</v>
      </c>
      <c r="I33" s="84">
        <f>COUNTIFS(Menuiseries[Larg.],$A33,Menuiseries[Coffre],"Coffre L terre cuite")*SUMIFS(Menuiseries[Larg.],Menuiseries[Coffre],"Coffre L terrecuite",Menuiseries[Larg.],$A33)</f>
        <v>0</v>
      </c>
      <c r="J33" s="96" t="str">
        <f>COUNTIFS(Menuiseries[Larg.],$A33,Menuiseries[Coffre],"Coffre tunnel terre cuite")&amp;" coffre(s) de L = "&amp;TEXT($A33,"##0,00")&amp;" ml"</f>
        <v>0 coffre(s) de L =  ml</v>
      </c>
      <c r="K33" s="84">
        <f>COUNTIFS(Menuiseries[Larg.],$A33,Menuiseries[Coffre],"Coffre tunnel terre cuite")*SUMIFS(Menuiseries[Larg.],Menuiseries[Coffre],"Coffre tunnel terrecuite",Menuiseries[Larg.],$A33)</f>
        <v>0</v>
      </c>
      <c r="L33" s="96" t="str">
        <f>COUNTIFS(Menuiseries[Larg.],$A33,Menuiseries[Coffre],"Coffre tunnel fibre")&amp;" coffre(s) de L = "&amp;TEXT($A33,"##0,00")&amp;" ml"</f>
        <v>0 coffre(s) de L =  ml</v>
      </c>
      <c r="M33" s="84">
        <f>COUNTIFS(Menuiseries[Larg.],$A33,Menuiseries[Coffre],"Coffre tunnel fibre")*SUMIFS(Menuiseries[Larg.],Menuiseries[Coffre],"Coffre tunnel fibre",Menuiseries[Larg.],$A33)</f>
        <v>0</v>
      </c>
      <c r="N33" s="96" t="str">
        <f>COUNTIFS(Menuiseries[Larg.],$A33,Menuiseries[Coffre],"Réservation pour BSO")&amp;" coffre(s) de L = "&amp;TEXT($A33,"##0,00")&amp;" ml"</f>
        <v>0 coffre(s) de L =  ml</v>
      </c>
      <c r="O33" s="84">
        <f>COUNTIFS(Menuiseries[Larg.],$A33,Menuiseries[Coffre],"Réservation pour BSO")*SUMIFS(Menuiseries[Larg.],Menuiseries[Coffre],"Réservation pour BSO",Menuiseries[Larg.],$A33)</f>
        <v>0</v>
      </c>
    </row>
    <row r="34" spans="1:15" x14ac:dyDescent="0.2">
      <c r="A34" s="89" t="str">
        <f t="array" ref="A34">INDEX(Menuiseries[[#All],[Larg.]],MIN(IF(COUNTIF(A$1:A33,Menuiseries[Larg.])=0,ROW(Menuiseries[Larg.]))))&amp;""</f>
        <v/>
      </c>
      <c r="B34" s="94" t="str">
        <f>COUNTIFS(Menuiseries[Larg.],$A34,Menuiseries[All.],"=0")&amp;" seuil(s) de L = "&amp;TEXT($A34,"##0,00")&amp;" ml"</f>
        <v>0 seuil(s) de L =  ml</v>
      </c>
      <c r="C34" s="84">
        <f>SUMIFS(Menuiseries[Larg.],Menuiseries[All.],"=0",Menuiseries[Larg.],$A34)</f>
        <v>0</v>
      </c>
      <c r="D34" s="96" t="str">
        <f>COUNTIFS(Menuiseries[Larg.],$A34,Menuiseries[All.],"&gt;0")&amp;" appui(s) de L = "&amp;TEXT($A34,"##0,00")&amp;" ml"</f>
        <v>0 appui(s) de L =  ml</v>
      </c>
      <c r="E34" s="84">
        <f>SUMIFS(Menuiseries[Larg.],Menuiseries[All.],"&gt;0",Menuiseries[Larg.],$A34)</f>
        <v>0</v>
      </c>
      <c r="F34" s="96" t="str">
        <f>COUNTIFS(Menuiseries[Larg.],$A34,Menuiseries[Coffre],"Coffre L béton")&amp;" coffre(s) de L = "&amp;TEXT($A34,"##0,00")&amp;" ml"</f>
        <v>0 coffre(s) de L =  ml</v>
      </c>
      <c r="G34" s="84">
        <f>COUNTIFS(Menuiseries[Larg.],$A34,Menuiseries[Coffre],"Coffre L béton")*SUMIFS(Menuiseries[Larg.],Menuiseries[Coffre],"Coffre L béton",Menuiseries[Larg.],$A34)</f>
        <v>0</v>
      </c>
      <c r="H34" s="96" t="str">
        <f>COUNTIFS(Menuiseries[Larg.],$A34,Menuiseries[Coffre],"Coffre L terre cuite")&amp;" coffre(s) de L = "&amp;TEXT($A34,"##0,00")&amp;" ml"</f>
        <v>0 coffre(s) de L =  ml</v>
      </c>
      <c r="I34" s="84">
        <f>COUNTIFS(Menuiseries[Larg.],$A34,Menuiseries[Coffre],"Coffre L terre cuite")*SUMIFS(Menuiseries[Larg.],Menuiseries[Coffre],"Coffre L terrecuite",Menuiseries[Larg.],$A34)</f>
        <v>0</v>
      </c>
      <c r="J34" s="96" t="str">
        <f>COUNTIFS(Menuiseries[Larg.],$A34,Menuiseries[Coffre],"Coffre tunnel terre cuite")&amp;" coffre(s) de L = "&amp;TEXT($A34,"##0,00")&amp;" ml"</f>
        <v>0 coffre(s) de L =  ml</v>
      </c>
      <c r="K34" s="84">
        <f>COUNTIFS(Menuiseries[Larg.],$A34,Menuiseries[Coffre],"Coffre tunnel terre cuite")*SUMIFS(Menuiseries[Larg.],Menuiseries[Coffre],"Coffre tunnel terrecuite",Menuiseries[Larg.],$A34)</f>
        <v>0</v>
      </c>
      <c r="L34" s="96" t="str">
        <f>COUNTIFS(Menuiseries[Larg.],$A34,Menuiseries[Coffre],"Coffre tunnel fibre")&amp;" coffre(s) de L = "&amp;TEXT($A34,"##0,00")&amp;" ml"</f>
        <v>0 coffre(s) de L =  ml</v>
      </c>
      <c r="M34" s="84">
        <f>COUNTIFS(Menuiseries[Larg.],$A34,Menuiseries[Coffre],"Coffre tunnel fibre")*SUMIFS(Menuiseries[Larg.],Menuiseries[Coffre],"Coffre tunnel fibre",Menuiseries[Larg.],$A34)</f>
        <v>0</v>
      </c>
      <c r="N34" s="96" t="str">
        <f>COUNTIFS(Menuiseries[Larg.],$A34,Menuiseries[Coffre],"Réservation pour BSO")&amp;" coffre(s) de L = "&amp;TEXT($A34,"##0,00")&amp;" ml"</f>
        <v>0 coffre(s) de L =  ml</v>
      </c>
      <c r="O34" s="84">
        <f>COUNTIFS(Menuiseries[Larg.],$A34,Menuiseries[Coffre],"Réservation pour BSO")*SUMIFS(Menuiseries[Larg.],Menuiseries[Coffre],"Réservation pour BSO",Menuiseries[Larg.],$A34)</f>
        <v>0</v>
      </c>
    </row>
    <row r="35" spans="1:15" x14ac:dyDescent="0.2">
      <c r="A35" s="89" t="str">
        <f t="array" ref="A35">INDEX(Menuiseries[[#All],[Larg.]],MIN(IF(COUNTIF(A$1:A34,Menuiseries[Larg.])=0,ROW(Menuiseries[Larg.]))))&amp;""</f>
        <v/>
      </c>
      <c r="B35" s="94" t="str">
        <f>COUNTIFS(Menuiseries[Larg.],$A35,Menuiseries[All.],"=0")&amp;" seuil(s) de L = "&amp;TEXT($A35,"##0,00")&amp;" ml"</f>
        <v>0 seuil(s) de L =  ml</v>
      </c>
      <c r="C35" s="84">
        <f>SUMIFS(Menuiseries[Larg.],Menuiseries[All.],"=0",Menuiseries[Larg.],$A35)</f>
        <v>0</v>
      </c>
      <c r="D35" s="96" t="str">
        <f>COUNTIFS(Menuiseries[Larg.],$A35,Menuiseries[All.],"&gt;0")&amp;" appui(s) de L = "&amp;TEXT($A35,"##0,00")&amp;" ml"</f>
        <v>0 appui(s) de L =  ml</v>
      </c>
      <c r="E35" s="84">
        <f>SUMIFS(Menuiseries[Larg.],Menuiseries[All.],"&gt;0",Menuiseries[Larg.],$A35)</f>
        <v>0</v>
      </c>
      <c r="F35" s="96" t="str">
        <f>COUNTIFS(Menuiseries[Larg.],$A35,Menuiseries[Coffre],"Coffre L béton")&amp;" coffre(s) de L = "&amp;TEXT($A35,"##0,00")&amp;" ml"</f>
        <v>0 coffre(s) de L =  ml</v>
      </c>
      <c r="G35" s="84">
        <f>COUNTIFS(Menuiseries[Larg.],$A35,Menuiseries[Coffre],"Coffre L béton")*SUMIFS(Menuiseries[Larg.],Menuiseries[Coffre],"Coffre L béton",Menuiseries[Larg.],$A35)</f>
        <v>0</v>
      </c>
      <c r="H35" s="96" t="str">
        <f>COUNTIFS(Menuiseries[Larg.],$A35,Menuiseries[Coffre],"Coffre L terre cuite")&amp;" coffre(s) de L = "&amp;TEXT($A35,"##0,00")&amp;" ml"</f>
        <v>0 coffre(s) de L =  ml</v>
      </c>
      <c r="I35" s="84">
        <f>COUNTIFS(Menuiseries[Larg.],$A35,Menuiseries[Coffre],"Coffre L terre cuite")*SUMIFS(Menuiseries[Larg.],Menuiseries[Coffre],"Coffre L terrecuite",Menuiseries[Larg.],$A35)</f>
        <v>0</v>
      </c>
      <c r="J35" s="96" t="str">
        <f>COUNTIFS(Menuiseries[Larg.],$A35,Menuiseries[Coffre],"Coffre tunnel terre cuite")&amp;" coffre(s) de L = "&amp;TEXT($A35,"##0,00")&amp;" ml"</f>
        <v>0 coffre(s) de L =  ml</v>
      </c>
      <c r="K35" s="84">
        <f>COUNTIFS(Menuiseries[Larg.],$A35,Menuiseries[Coffre],"Coffre tunnel terre cuite")*SUMIFS(Menuiseries[Larg.],Menuiseries[Coffre],"Coffre tunnel terrecuite",Menuiseries[Larg.],$A35)</f>
        <v>0</v>
      </c>
      <c r="L35" s="96" t="str">
        <f>COUNTIFS(Menuiseries[Larg.],$A35,Menuiseries[Coffre],"Coffre tunnel fibre")&amp;" coffre(s) de L = "&amp;TEXT($A35,"##0,00")&amp;" ml"</f>
        <v>0 coffre(s) de L =  ml</v>
      </c>
      <c r="M35" s="84">
        <f>COUNTIFS(Menuiseries[Larg.],$A35,Menuiseries[Coffre],"Coffre tunnel fibre")*SUMIFS(Menuiseries[Larg.],Menuiseries[Coffre],"Coffre tunnel fibre",Menuiseries[Larg.],$A35)</f>
        <v>0</v>
      </c>
      <c r="N35" s="96" t="str">
        <f>COUNTIFS(Menuiseries[Larg.],$A35,Menuiseries[Coffre],"Réservation pour BSO")&amp;" coffre(s) de L = "&amp;TEXT($A35,"##0,00")&amp;" ml"</f>
        <v>0 coffre(s) de L =  ml</v>
      </c>
      <c r="O35" s="84">
        <f>COUNTIFS(Menuiseries[Larg.],$A35,Menuiseries[Coffre],"Réservation pour BSO")*SUMIFS(Menuiseries[Larg.],Menuiseries[Coffre],"Réservation pour BSO",Menuiseries[Larg.],$A35)</f>
        <v>0</v>
      </c>
    </row>
    <row r="36" spans="1:15" x14ac:dyDescent="0.2">
      <c r="A36" s="90" t="str">
        <f t="array" ref="A36">INDEX(Menuiseries[[#All],[Larg.]],MIN(IF(COUNTIF(A$1:A35,Menuiseries[Larg.])=0,ROW(Menuiseries[Larg.]))))&amp;""</f>
        <v/>
      </c>
      <c r="B36" s="95" t="str">
        <f>COUNTIFS(Menuiseries[Larg.],$A36,Menuiseries[All.],"=0")&amp;" seuil(s) de L = "&amp;TEXT($A36,"##0,00")&amp;" ml"</f>
        <v>0 seuil(s) de L =  ml</v>
      </c>
      <c r="C36" s="85">
        <f>SUMIFS(Menuiseries[Larg.],Menuiseries[All.],"=0",Menuiseries[Larg.],$A36)</f>
        <v>0</v>
      </c>
      <c r="D36" s="98" t="str">
        <f>COUNTIFS(Menuiseries[Larg.],$A36,Menuiseries[All.],"&gt;0")&amp;" appui(s) de L = "&amp;TEXT($A36,"##0,00")&amp;" ml"</f>
        <v>0 appui(s) de L =  ml</v>
      </c>
      <c r="E36" s="85">
        <f>SUMIFS(Menuiseries[Larg.],Menuiseries[All.],"&gt;0",Menuiseries[Larg.],$A36)</f>
        <v>0</v>
      </c>
      <c r="F36" s="98" t="str">
        <f>COUNTIFS(Menuiseries[Larg.],$A36,Menuiseries[Coffre],"Coffre L béton")&amp;" coffre(s) de L = "&amp;TEXT($A36,"##0,00")&amp;" ml"</f>
        <v>0 coffre(s) de L =  ml</v>
      </c>
      <c r="G36" s="85">
        <f>COUNTIFS(Menuiseries[Larg.],$A36,Menuiseries[Coffre],"Coffre L béton")*SUMIFS(Menuiseries[Larg.],Menuiseries[Coffre],"Coffre L béton",Menuiseries[Larg.],$A36)</f>
        <v>0</v>
      </c>
      <c r="H36" s="98" t="str">
        <f>COUNTIFS(Menuiseries[Larg.],$A36,Menuiseries[Coffre],"Coffre L terre cuite")&amp;" coffre(s) de L = "&amp;TEXT($A36,"##0,00")&amp;" ml"</f>
        <v>0 coffre(s) de L =  ml</v>
      </c>
      <c r="I36" s="85">
        <f>COUNTIFS(Menuiseries[Larg.],$A36,Menuiseries[Coffre],"Coffre L terre cuite")*SUMIFS(Menuiseries[Larg.],Menuiseries[Coffre],"Coffre L terrecuite",Menuiseries[Larg.],$A36)</f>
        <v>0</v>
      </c>
      <c r="J36" s="98" t="str">
        <f>COUNTIFS(Menuiseries[Larg.],$A36,Menuiseries[Coffre],"Coffre tunnel terre cuite")&amp;" coffre(s) de L = "&amp;TEXT($A36,"##0,00")&amp;" ml"</f>
        <v>0 coffre(s) de L =  ml</v>
      </c>
      <c r="K36" s="85">
        <f>COUNTIFS(Menuiseries[Larg.],$A36,Menuiseries[Coffre],"Coffre tunnel terre cuite")*SUMIFS(Menuiseries[Larg.],Menuiseries[Coffre],"Coffre tunnel terrecuite",Menuiseries[Larg.],$A36)</f>
        <v>0</v>
      </c>
      <c r="L36" s="98" t="str">
        <f>COUNTIFS(Menuiseries[Larg.],$A36,Menuiseries[Coffre],"Coffre tunnel fibre")&amp;" coffre(s) de L = "&amp;TEXT($A36,"##0,00")&amp;" ml"</f>
        <v>0 coffre(s) de L =  ml</v>
      </c>
      <c r="M36" s="85">
        <f>COUNTIFS(Menuiseries[Larg.],$A36,Menuiseries[Coffre],"Coffre tunnel fibre")*SUMIFS(Menuiseries[Larg.],Menuiseries[Coffre],"Coffre tunnel fibre",Menuiseries[Larg.],$A36)</f>
        <v>0</v>
      </c>
      <c r="N36" s="98" t="str">
        <f>COUNTIFS(Menuiseries[Larg.],$A36,Menuiseries[Coffre],"Réservation pour BSO")&amp;" coffre(s) de L = "&amp;TEXT($A36,"##0,00")&amp;" ml"</f>
        <v>0 coffre(s) de L =  ml</v>
      </c>
      <c r="O36" s="85">
        <f>COUNTIFS(Menuiseries[Larg.],$A36,Menuiseries[Coffre],"Réservation pour BSO")*SUMIFS(Menuiseries[Larg.],Menuiseries[Coffre],"Réservation pour BSO",Menuiseries[Larg.],$A36)</f>
        <v>0</v>
      </c>
    </row>
    <row r="38" spans="1:15" x14ac:dyDescent="0.2">
      <c r="A38" s="87" t="s">
        <v>429</v>
      </c>
      <c r="B38" s="79" t="s">
        <v>430</v>
      </c>
      <c r="C38" s="79" t="s">
        <v>251</v>
      </c>
      <c r="D38" s="79" t="s">
        <v>252</v>
      </c>
      <c r="E38" s="79" t="s">
        <v>253</v>
      </c>
      <c r="F38" s="79" t="s">
        <v>254</v>
      </c>
      <c r="G38" s="79" t="s">
        <v>255</v>
      </c>
      <c r="H38" s="79" t="s">
        <v>257</v>
      </c>
      <c r="I38" s="79" t="s">
        <v>258</v>
      </c>
      <c r="J38" s="79" t="s">
        <v>259</v>
      </c>
      <c r="K38" s="79" t="s">
        <v>260</v>
      </c>
      <c r="L38" s="79" t="s">
        <v>261</v>
      </c>
      <c r="M38" s="79" t="s">
        <v>262</v>
      </c>
    </row>
    <row r="39" spans="1:15" x14ac:dyDescent="0.2">
      <c r="A39" s="80">
        <f>IF(Ouvertures!$K2=PROGRAMME!$L$9,1,IF(Ouvertures!$K2=PROGRAMME!$L$10,1,IF(Ouvertures!$K2=PROGRAMME!$L$11,1,IF(Ouvertures!$K2=PROGRAMME!$L$12,2,IF(Ouvertures!$K2=PROGRAMME!$L$13,2,IF(Ouvertures!$K2=PROGRAMME!$L$14,3,IF(Ouvertures!$K2=PROGRAMME!$L$15,3,IF(Ouvertures!$K2=PROGRAMME!$L$16,4,))))))))</f>
        <v>0</v>
      </c>
      <c r="B39" s="79" t="e">
        <f ca="1">IF($A39=1,INDEX(INDIRECT(CONCATENATE("menuiseries",LOWER(Ouvertures!J2))),MATCH(CEILING(Ouvertures!C2*1000,50),INDIRECT(CONCATENATE("menuiseries",LOWER(Ouvertures!J2),"[Hauteur]")),0),MATCH(ROUNDUP(Ouvertures!B2*1000,-2),prix!$C$1:$N$1,0)+2),IF($A39=2,OFFSET(INDEX(INDIRECT(CONCATENATE("menuiseries",LOWER(Ouvertures!J2))),MATCH(CEILING(Ouvertures!C2*1000,50),INDIRECT(CONCATENATE("menuiseries",LOWER(Ouvertures!J2),"[Hauteur]")),0),MATCH(ROUNDUP(Ouvertures!B2*1000,-2),prix!$C$1:$N$1,0)+2),1,0),OFFSET(INDEX(INDIRECT(CONCATENATE("menuiseries",LOWER(Ouvertures!J2))),MATCH(CEILING(Ouvertures!C2*1000,50),INDIRECT(CONCATENATE("menuiseries",LOWER(Ouvertures!J2),"[Hauteur]")),0),MATCH(ROUNDUP(Ouvertures!B2*1000,-2),prix!$C$1:$N$1,0)+2),2,0)))</f>
        <v>#REF!</v>
      </c>
    </row>
    <row r="40" spans="1:15" x14ac:dyDescent="0.2">
      <c r="A40" s="81">
        <f>IF(Ouvertures!$K3=PROGRAMME!$L$9,1,IF(Ouvertures!$K3=PROGRAMME!$L$10,1,IF(Ouvertures!$K3=PROGRAMME!$L$11,1,IF(Ouvertures!$K3=PROGRAMME!$L$12,2,IF(Ouvertures!$K3=PROGRAMME!$L$13,2,IF(Ouvertures!$K3=PROGRAMME!$L$14,3,IF(Ouvertures!$K3=PROGRAMME!$L$15,3,IF(Ouvertures!$K3=PROGRAMME!$L$16,4,))))))))</f>
        <v>0</v>
      </c>
      <c r="B40" s="79" t="e">
        <f ca="1">IF($A40=1,INDEX(INDIRECT(CONCATENATE("menuiseries",LOWER(Ouvertures!J3))),MATCH(CEILING(Ouvertures!C3*1000,50),INDIRECT(CONCATENATE("menuiseries",LOWER(Ouvertures!J3),"[Hauteur]")),0),MATCH(ROUNDUP(Ouvertures!B3*1000,-2),prix!$C$1:$N$1,0)+2),IF($A40=2,OFFSET(INDEX(INDIRECT(CONCATENATE("menuiseries",LOWER(Ouvertures!J3))),MATCH(CEILING(Ouvertures!C3*1000,50),INDIRECT(CONCATENATE("menuiseries",LOWER(Ouvertures!J3),"[Hauteur]")),0),MATCH(ROUNDUP(Ouvertures!B3*1000,-2),prix!$C$1:$N$1,0)+2),1,0),OFFSET(INDEX(INDIRECT(CONCATENATE("menuiseries",LOWER(Ouvertures!J3))),MATCH(CEILING(Ouvertures!C3*1000,50),INDIRECT(CONCATENATE("menuiseries",LOWER(Ouvertures!J3),"[Hauteur]")),0),MATCH(ROUNDUP(Ouvertures!B3*1000,-2),prix!$C$1:$N$1,0)+2),2,0)))</f>
        <v>#REF!</v>
      </c>
    </row>
    <row r="41" spans="1:15" x14ac:dyDescent="0.2">
      <c r="A41" s="81">
        <f>IF(Ouvertures!$K4=PROGRAMME!$L$9,1,IF(Ouvertures!$K4=PROGRAMME!$L$10,1,IF(Ouvertures!$K4=PROGRAMME!$L$11,1,IF(Ouvertures!$K4=PROGRAMME!$L$12,2,IF(Ouvertures!$K4=PROGRAMME!$L$13,2,IF(Ouvertures!$K4=PROGRAMME!$L$14,3,IF(Ouvertures!$K4=PROGRAMME!$L$15,3,IF(Ouvertures!$K4=PROGRAMME!$L$16,4,))))))))</f>
        <v>0</v>
      </c>
      <c r="B41" s="79" t="e">
        <f ca="1">IF($A41=1,INDEX(INDIRECT(CONCATENATE("menuiseries",LOWER(Ouvertures!J4))),MATCH(CEILING(Ouvertures!C4*1000,50),INDIRECT(CONCATENATE("menuiseries",LOWER(Ouvertures!J4),"[Hauteur]")),0),MATCH(ROUNDUP(Ouvertures!B4*1000,-2),prix!$C$1:$N$1,0)+2),IF($A41=2,OFFSET(INDEX(INDIRECT(CONCATENATE("menuiseries",LOWER(Ouvertures!J4))),MATCH(CEILING(Ouvertures!C4*1000,50),INDIRECT(CONCATENATE("menuiseries",LOWER(Ouvertures!J4),"[Hauteur]")),0),MATCH(ROUNDUP(Ouvertures!B4*1000,-2),prix!$C$1:$N$1,0)+2),1,0),OFFSET(INDEX(INDIRECT(CONCATENATE("menuiseries",LOWER(Ouvertures!J4))),MATCH(CEILING(Ouvertures!C4*1000,50),INDIRECT(CONCATENATE("menuiseries",LOWER(Ouvertures!J4),"[Hauteur]")),0),MATCH(ROUNDUP(Ouvertures!B4*1000,-2),prix!$C$1:$N$1,0)+2),2,0)))</f>
        <v>#REF!</v>
      </c>
    </row>
    <row r="42" spans="1:15" ht="13.5" x14ac:dyDescent="0.25">
      <c r="A42" s="81">
        <f>IF(Ouvertures!$K5=PROGRAMME!$L$9,1,IF(Ouvertures!$K5=PROGRAMME!$L$10,1,IF(Ouvertures!$K5=PROGRAMME!$L$11,1,IF(Ouvertures!$K5=PROGRAMME!$L$12,2,IF(Ouvertures!$K5=PROGRAMME!$L$13,2,IF(Ouvertures!$K5=PROGRAMME!$L$14,3,IF(Ouvertures!$K5=PROGRAMME!$L$15,3,IF(Ouvertures!$K5=PROGRAMME!$L$16,4,))))))))</f>
        <v>0</v>
      </c>
      <c r="B42" s="79" t="e">
        <f ca="1">IF($A42=1,INDEX(INDIRECT(CONCATENATE("menuiseries",LOWER(Ouvertures!J5))),MATCH(CEILING(Ouvertures!C5*1000,50),INDIRECT(CONCATENATE("menuiseries",LOWER(Ouvertures!J5),"[Hauteur]")),0),MATCH(ROUNDUP(Ouvertures!B5*1000,-2),prix!$C$1:$N$1,0)+2),IF($A42=2,OFFSET(INDEX(INDIRECT(CONCATENATE("menuiseries",LOWER(Ouvertures!J5))),MATCH(CEILING(Ouvertures!C5*1000,50),INDIRECT(CONCATENATE("menuiseries",LOWER(Ouvertures!J5),"[Hauteur]")),0),MATCH(ROUNDUP(Ouvertures!B5*1000,-2),prix!$C$1:$N$1,0)+2),1,0),OFFSET(INDEX(INDIRECT(CONCATENATE("menuiseries",LOWER(Ouvertures!J5))),MATCH(CEILING(Ouvertures!C5*1000,50),INDIRECT(CONCATENATE("menuiseries",LOWER(Ouvertures!J5),"[Hauteur]")),0),MATCH(ROUNDUP(Ouvertures!B5*1000,-2),prix!$C$1:$N$1,0)+2),2,0)))</f>
        <v>#REF!</v>
      </c>
      <c r="J42" s="44"/>
    </row>
    <row r="43" spans="1:15" ht="13.5" x14ac:dyDescent="0.25">
      <c r="A43" s="81">
        <f>IF(Ouvertures!$K6=PROGRAMME!$L$9,1,IF(Ouvertures!$K6=PROGRAMME!$L$10,1,IF(Ouvertures!$K6=PROGRAMME!$L$11,1,IF(Ouvertures!$K6=PROGRAMME!$L$12,2,IF(Ouvertures!$K6=PROGRAMME!$L$13,2,IF(Ouvertures!$K6=PROGRAMME!$L$14,3,IF(Ouvertures!$K6=PROGRAMME!$L$15,3,IF(Ouvertures!$K6=PROGRAMME!$L$16,4,))))))))</f>
        <v>0</v>
      </c>
      <c r="B43" s="79" t="e">
        <f ca="1">IF($A43=1,INDEX(INDIRECT(CONCATENATE("menuiseries",LOWER(Ouvertures!J6))),MATCH(CEILING(Ouvertures!C6*1000,50),INDIRECT(CONCATENATE("menuiseries",LOWER(Ouvertures!J6),"[Hauteur]")),0),MATCH(ROUNDUP(Ouvertures!B6*1000,-2),prix!$C$1:$N$1,0)+2),IF($A43=2,OFFSET(INDEX(INDIRECT(CONCATENATE("menuiseries",LOWER(Ouvertures!J6))),MATCH(CEILING(Ouvertures!C6*1000,50),INDIRECT(CONCATENATE("menuiseries",LOWER(Ouvertures!J6),"[Hauteur]")),0),MATCH(ROUNDUP(Ouvertures!B6*1000,-2),prix!$C$1:$N$1,0)+2),1,0),OFFSET(INDEX(INDIRECT(CONCATENATE("menuiseries",LOWER(Ouvertures!J6))),MATCH(CEILING(Ouvertures!C6*1000,50),INDIRECT(CONCATENATE("menuiseries",LOWER(Ouvertures!J6),"[Hauteur]")),0),MATCH(ROUNDUP(Ouvertures!B6*1000,-2),prix!$C$1:$N$1,0)+2),2,0)))</f>
        <v>#REF!</v>
      </c>
      <c r="J43" s="44"/>
    </row>
    <row r="44" spans="1:15" ht="13.5" x14ac:dyDescent="0.25">
      <c r="A44" s="81">
        <f>IF(Ouvertures!$K7=PROGRAMME!$L$9,1,IF(Ouvertures!$K7=PROGRAMME!$L$10,1,IF(Ouvertures!$K7=PROGRAMME!$L$11,1,IF(Ouvertures!$K7=PROGRAMME!$L$12,2,IF(Ouvertures!$K7=PROGRAMME!$L$13,2,IF(Ouvertures!$K7=PROGRAMME!$L$14,3,IF(Ouvertures!$K7=PROGRAMME!$L$15,3,IF(Ouvertures!$K7=PROGRAMME!$L$16,4,))))))))</f>
        <v>0</v>
      </c>
      <c r="B44" s="79" t="e">
        <f ca="1">IF($A44=1,INDEX(INDIRECT(CONCATENATE("menuiseries",LOWER(Ouvertures!J7))),MATCH(CEILING(Ouvertures!C7*1000,50),INDIRECT(CONCATENATE("menuiseries",LOWER(Ouvertures!J7),"[Hauteur]")),0),MATCH(ROUNDUP(Ouvertures!B7*1000,-2),prix!$C$1:$N$1,0)+2),IF($A44=2,OFFSET(INDEX(INDIRECT(CONCATENATE("menuiseries",LOWER(Ouvertures!J7))),MATCH(CEILING(Ouvertures!C7*1000,50),INDIRECT(CONCATENATE("menuiseries",LOWER(Ouvertures!J7),"[Hauteur]")),0),MATCH(ROUNDUP(Ouvertures!B7*1000,-2),prix!$C$1:$N$1,0)+2),1,0),OFFSET(INDEX(INDIRECT(CONCATENATE("menuiseries",LOWER(Ouvertures!J7))),MATCH(CEILING(Ouvertures!C7*1000,50),INDIRECT(CONCATENATE("menuiseries",LOWER(Ouvertures!J7),"[Hauteur]")),0),MATCH(ROUNDUP(Ouvertures!B7*1000,-2),prix!$C$1:$N$1,0)+2),2,0)))</f>
        <v>#REF!</v>
      </c>
      <c r="J44" s="44"/>
    </row>
    <row r="45" spans="1:15" ht="13.5" x14ac:dyDescent="0.25">
      <c r="A45" s="81">
        <f>IF(Ouvertures!$K8=PROGRAMME!$L$9,1,IF(Ouvertures!$K8=PROGRAMME!$L$10,1,IF(Ouvertures!$K8=PROGRAMME!$L$11,1,IF(Ouvertures!$K8=PROGRAMME!$L$12,2,IF(Ouvertures!$K8=PROGRAMME!$L$13,2,IF(Ouvertures!$K8=PROGRAMME!$L$14,3,IF(Ouvertures!$K8=PROGRAMME!$L$15,3,IF(Ouvertures!$K8=PROGRAMME!$L$16,4,))))))))</f>
        <v>0</v>
      </c>
      <c r="B45" s="79" t="e">
        <f ca="1">IF($A45=1,INDEX(INDIRECT(CONCATENATE("menuiseries",LOWER(Ouvertures!J8))),MATCH(CEILING(Ouvertures!C8*1000,50),INDIRECT(CONCATENATE("menuiseries",LOWER(Ouvertures!J8),"[Hauteur]")),0),MATCH(ROUNDUP(Ouvertures!B8*1000,-2),prix!$C$1:$N$1,0)+2),IF($A45=2,OFFSET(INDEX(INDIRECT(CONCATENATE("menuiseries",LOWER(Ouvertures!J8))),MATCH(CEILING(Ouvertures!C8*1000,50),INDIRECT(CONCATENATE("menuiseries",LOWER(Ouvertures!J8),"[Hauteur]")),0),MATCH(ROUNDUP(Ouvertures!B8*1000,-2),prix!$C$1:$N$1,0)+2),1,0),OFFSET(INDEX(INDIRECT(CONCATENATE("menuiseries",LOWER(Ouvertures!J8))),MATCH(CEILING(Ouvertures!C8*1000,50),INDIRECT(CONCATENATE("menuiseries",LOWER(Ouvertures!J8),"[Hauteur]")),0),MATCH(ROUNDUP(Ouvertures!B8*1000,-2),prix!$C$1:$N$1,0)+2),2,0)))</f>
        <v>#REF!</v>
      </c>
      <c r="J45" s="44"/>
    </row>
    <row r="46" spans="1:15" ht="13.5" x14ac:dyDescent="0.25">
      <c r="A46" s="81">
        <f>IF(Ouvertures!$K9=PROGRAMME!$L$9,1,IF(Ouvertures!$K9=PROGRAMME!$L$10,1,IF(Ouvertures!$K9=PROGRAMME!$L$11,1,IF(Ouvertures!$K9=PROGRAMME!$L$12,2,IF(Ouvertures!$K9=PROGRAMME!$L$13,2,IF(Ouvertures!$K9=PROGRAMME!$L$14,3,IF(Ouvertures!$K9=PROGRAMME!$L$15,3,IF(Ouvertures!$K9=PROGRAMME!$L$16,4,))))))))</f>
        <v>0</v>
      </c>
      <c r="B46" s="79" t="e">
        <f ca="1">IF($A46=1,INDEX(INDIRECT(CONCATENATE("menuiseries",LOWER(Ouvertures!J9))),MATCH(CEILING(Ouvertures!C9*1000,50),INDIRECT(CONCATENATE("menuiseries",LOWER(Ouvertures!J9),"[Hauteur]")),0),MATCH(ROUNDUP(Ouvertures!B9*1000,-2),prix!$C$1:$N$1,0)+2),IF($A46=2,OFFSET(INDEX(INDIRECT(CONCATENATE("menuiseries",LOWER(Ouvertures!J9))),MATCH(CEILING(Ouvertures!C9*1000,50),INDIRECT(CONCATENATE("menuiseries",LOWER(Ouvertures!J9),"[Hauteur]")),0),MATCH(ROUNDUP(Ouvertures!B9*1000,-2),prix!$C$1:$N$1,0)+2),1,0),OFFSET(INDEX(INDIRECT(CONCATENATE("menuiseries",LOWER(Ouvertures!J9))),MATCH(CEILING(Ouvertures!C9*1000,50),INDIRECT(CONCATENATE("menuiseries",LOWER(Ouvertures!J9),"[Hauteur]")),0),MATCH(ROUNDUP(Ouvertures!B9*1000,-2),prix!$C$1:$N$1,0)+2),2,0)))</f>
        <v>#REF!</v>
      </c>
      <c r="I46" s="44"/>
    </row>
    <row r="47" spans="1:15" x14ac:dyDescent="0.2">
      <c r="A47" s="81">
        <f>IF(Ouvertures!$K10=PROGRAMME!$L$9,1,IF(Ouvertures!$K10=PROGRAMME!$L$10,1,IF(Ouvertures!$K10=PROGRAMME!$L$11,1,IF(Ouvertures!$K10=PROGRAMME!$L$12,2,IF(Ouvertures!$K10=PROGRAMME!$L$13,2,IF(Ouvertures!$K10=PROGRAMME!$L$14,3,IF(Ouvertures!$K10=PROGRAMME!$L$15,3,IF(Ouvertures!$K10=PROGRAMME!$L$16,4,))))))))</f>
        <v>0</v>
      </c>
      <c r="B47" s="79" t="e">
        <f ca="1">IF($A47=1,INDEX(INDIRECT(CONCATENATE("menuiseries",LOWER(Ouvertures!J10))),MATCH(CEILING(Ouvertures!C10*1000,50),INDIRECT(CONCATENATE("menuiseries",LOWER(Ouvertures!J10),"[Hauteur]")),0),MATCH(ROUNDUP(Ouvertures!B10*1000,-2),prix!$C$1:$N$1,0)+2),IF($A47=2,OFFSET(INDEX(INDIRECT(CONCATENATE("menuiseries",LOWER(Ouvertures!J10))),MATCH(CEILING(Ouvertures!C10*1000,50),INDIRECT(CONCATENATE("menuiseries",LOWER(Ouvertures!J10),"[Hauteur]")),0),MATCH(ROUNDUP(Ouvertures!B10*1000,-2),prix!$C$1:$N$1,0)+2),1,0),OFFSET(INDEX(INDIRECT(CONCATENATE("menuiseries",LOWER(Ouvertures!J10))),MATCH(CEILING(Ouvertures!C10*1000,50),INDIRECT(CONCATENATE("menuiseries",LOWER(Ouvertures!J10),"[Hauteur]")),0),MATCH(ROUNDUP(Ouvertures!B10*1000,-2),prix!$C$1:$N$1,0)+2),2,0)))</f>
        <v>#REF!</v>
      </c>
    </row>
    <row r="48" spans="1:15" x14ac:dyDescent="0.2">
      <c r="A48" s="81">
        <f>IF(Ouvertures!$K11=PROGRAMME!$L$9,1,IF(Ouvertures!$K11=PROGRAMME!$L$10,1,IF(Ouvertures!$K11=PROGRAMME!$L$11,1,IF(Ouvertures!$K11=PROGRAMME!$L$12,2,IF(Ouvertures!$K11=PROGRAMME!$L$13,2,IF(Ouvertures!$K11=PROGRAMME!$L$14,3,IF(Ouvertures!$K11=PROGRAMME!$L$15,3,IF(Ouvertures!$K11=PROGRAMME!$L$16,4,))))))))</f>
        <v>0</v>
      </c>
      <c r="B48" s="79" t="e">
        <f ca="1">IF($A48=1,INDEX(INDIRECT(CONCATENATE("menuiseries",LOWER(Ouvertures!J11))),MATCH(CEILING(Ouvertures!C11*1000,50),INDIRECT(CONCATENATE("menuiseries",LOWER(Ouvertures!J11),"[Hauteur]")),0),MATCH(ROUNDUP(Ouvertures!B11*1000,-2),prix!$C$1:$N$1,0)+2),IF($A48=2,OFFSET(INDEX(INDIRECT(CONCATENATE("menuiseries",LOWER(Ouvertures!J11))),MATCH(CEILING(Ouvertures!C11*1000,50),INDIRECT(CONCATENATE("menuiseries",LOWER(Ouvertures!J11),"[Hauteur]")),0),MATCH(ROUNDUP(Ouvertures!B11*1000,-2),prix!$C$1:$N$1,0)+2),1,0),OFFSET(INDEX(INDIRECT(CONCATENATE("menuiseries",LOWER(Ouvertures!J11))),MATCH(CEILING(Ouvertures!C11*1000,50),INDIRECT(CONCATENATE("menuiseries",LOWER(Ouvertures!J11),"[Hauteur]")),0),MATCH(ROUNDUP(Ouvertures!B11*1000,-2),prix!$C$1:$N$1,0)+2),2,0)))</f>
        <v>#REF!</v>
      </c>
    </row>
    <row r="49" spans="1:2" x14ac:dyDescent="0.2">
      <c r="A49" s="81">
        <f>IF(Ouvertures!$K12=PROGRAMME!$L$9,1,IF(Ouvertures!$K12=PROGRAMME!$L$10,1,IF(Ouvertures!$K12=PROGRAMME!$L$11,1,IF(Ouvertures!$K12=PROGRAMME!$L$12,2,IF(Ouvertures!$K12=PROGRAMME!$L$13,2,IF(Ouvertures!$K12=PROGRAMME!$L$14,3,IF(Ouvertures!$K12=PROGRAMME!$L$15,3,IF(Ouvertures!$K12=PROGRAMME!$L$16,4,))))))))</f>
        <v>0</v>
      </c>
      <c r="B49" s="79" t="e">
        <f ca="1">IF($A49=1,INDEX(INDIRECT(CONCATENATE("menuiseries",LOWER(Ouvertures!J12))),MATCH(CEILING(Ouvertures!C12*1000,50),INDIRECT(CONCATENATE("menuiseries",LOWER(Ouvertures!J12),"[Hauteur]")),0),MATCH(ROUNDUP(Ouvertures!B12*1000,-2),prix!$C$1:$N$1,0)+2),IF($A49=2,OFFSET(INDEX(INDIRECT(CONCATENATE("menuiseries",LOWER(Ouvertures!J12))),MATCH(CEILING(Ouvertures!C12*1000,50),INDIRECT(CONCATENATE("menuiseries",LOWER(Ouvertures!J12),"[Hauteur]")),0),MATCH(ROUNDUP(Ouvertures!B12*1000,-2),prix!$C$1:$N$1,0)+2),1,0),OFFSET(INDEX(INDIRECT(CONCATENATE("menuiseries",LOWER(Ouvertures!J12))),MATCH(CEILING(Ouvertures!C12*1000,50),INDIRECT(CONCATENATE("menuiseries",LOWER(Ouvertures!J12),"[Hauteur]")),0),MATCH(ROUNDUP(Ouvertures!B12*1000,-2),prix!$C$1:$N$1,0)+2),2,0)))</f>
        <v>#REF!</v>
      </c>
    </row>
    <row r="50" spans="1:2" x14ac:dyDescent="0.2">
      <c r="A50" s="81">
        <f>IF(Ouvertures!$K13=PROGRAMME!$L$9,1,IF(Ouvertures!$K13=PROGRAMME!$L$10,1,IF(Ouvertures!$K13=PROGRAMME!$L$11,1,IF(Ouvertures!$K13=PROGRAMME!$L$12,2,IF(Ouvertures!$K13=PROGRAMME!$L$13,2,IF(Ouvertures!$K13=PROGRAMME!$L$14,3,IF(Ouvertures!$K13=PROGRAMME!$L$15,3,IF(Ouvertures!$K13=PROGRAMME!$L$16,4,))))))))</f>
        <v>0</v>
      </c>
      <c r="B50" s="79" t="e">
        <f ca="1">IF($A50=1,INDEX(INDIRECT(CONCATENATE("menuiseries",LOWER(Ouvertures!J13))),MATCH(CEILING(Ouvertures!C13*1000,50),INDIRECT(CONCATENATE("menuiseries",LOWER(Ouvertures!J13),"[Hauteur]")),0),MATCH(ROUNDUP(Ouvertures!B13*1000,-2),prix!$C$1:$N$1,0)+2),IF($A50=2,OFFSET(INDEX(INDIRECT(CONCATENATE("menuiseries",LOWER(Ouvertures!J13))),MATCH(CEILING(Ouvertures!C13*1000,50),INDIRECT(CONCATENATE("menuiseries",LOWER(Ouvertures!J13),"[Hauteur]")),0),MATCH(ROUNDUP(Ouvertures!B13*1000,-2),prix!$C$1:$N$1,0)+2),1,0),OFFSET(INDEX(INDIRECT(CONCATENATE("menuiseries",LOWER(Ouvertures!J13))),MATCH(CEILING(Ouvertures!C13*1000,50),INDIRECT(CONCATENATE("menuiseries",LOWER(Ouvertures!J13),"[Hauteur]")),0),MATCH(ROUNDUP(Ouvertures!B13*1000,-2),prix!$C$1:$N$1,0)+2),2,0)))</f>
        <v>#REF!</v>
      </c>
    </row>
    <row r="51" spans="1:2" x14ac:dyDescent="0.2">
      <c r="A51" s="81">
        <f>IF(Ouvertures!$K14=PROGRAMME!$L$9,1,IF(Ouvertures!$K14=PROGRAMME!$L$10,1,IF(Ouvertures!$K14=PROGRAMME!$L$11,1,IF(Ouvertures!$K14=PROGRAMME!$L$12,2,IF(Ouvertures!$K14=PROGRAMME!$L$13,2,IF(Ouvertures!$K14=PROGRAMME!$L$14,3,IF(Ouvertures!$K14=PROGRAMME!$L$15,3,IF(Ouvertures!$K14=PROGRAMME!$L$16,4,))))))))</f>
        <v>0</v>
      </c>
      <c r="B51" s="79" t="e">
        <f ca="1">IF($A51=1,INDEX(INDIRECT(CONCATENATE("menuiseries",LOWER(Ouvertures!J14))),MATCH(CEILING(Ouvertures!C14*1000,50),INDIRECT(CONCATENATE("menuiseries",LOWER(Ouvertures!J14),"[Hauteur]")),0),MATCH(ROUNDUP(Ouvertures!B14*1000,-2),prix!$C$1:$N$1,0)+2),IF($A51=2,OFFSET(INDEX(INDIRECT(CONCATENATE("menuiseries",LOWER(Ouvertures!J14))),MATCH(CEILING(Ouvertures!C14*1000,50),INDIRECT(CONCATENATE("menuiseries",LOWER(Ouvertures!J14),"[Hauteur]")),0),MATCH(ROUNDUP(Ouvertures!B14*1000,-2),prix!$C$1:$N$1,0)+2),1,0),OFFSET(INDEX(INDIRECT(CONCATENATE("menuiseries",LOWER(Ouvertures!J14))),MATCH(CEILING(Ouvertures!C14*1000,50),INDIRECT(CONCATENATE("menuiseries",LOWER(Ouvertures!J14),"[Hauteur]")),0),MATCH(ROUNDUP(Ouvertures!B14*1000,-2),prix!$C$1:$N$1,0)+2),2,0)))</f>
        <v>#REF!</v>
      </c>
    </row>
    <row r="52" spans="1:2" x14ac:dyDescent="0.2">
      <c r="A52" s="81">
        <f>IF(Ouvertures!$K15=PROGRAMME!$L$9,1,IF(Ouvertures!$K15=PROGRAMME!$L$10,1,IF(Ouvertures!$K15=PROGRAMME!$L$11,1,IF(Ouvertures!$K15=PROGRAMME!$L$12,2,IF(Ouvertures!$K15=PROGRAMME!$L$13,2,IF(Ouvertures!$K15=PROGRAMME!$L$14,3,IF(Ouvertures!$K15=PROGRAMME!$L$15,3,IF(Ouvertures!$K15=PROGRAMME!$L$16,4,))))))))</f>
        <v>0</v>
      </c>
      <c r="B52" s="79" t="e">
        <f ca="1">IF($A52=1,INDEX(INDIRECT(CONCATENATE("menuiseries",LOWER(Ouvertures!J15))),MATCH(CEILING(Ouvertures!C15*1000,50),INDIRECT(CONCATENATE("menuiseries",LOWER(Ouvertures!J15),"[Hauteur]")),0),MATCH(ROUNDUP(Ouvertures!B15*1000,-2),prix!$C$1:$N$1,0)+2),IF($A52=2,OFFSET(INDEX(INDIRECT(CONCATENATE("menuiseries",LOWER(Ouvertures!J15))),MATCH(CEILING(Ouvertures!C15*1000,50),INDIRECT(CONCATENATE("menuiseries",LOWER(Ouvertures!J15),"[Hauteur]")),0),MATCH(ROUNDUP(Ouvertures!B15*1000,-2),prix!$C$1:$N$1,0)+2),1,0),OFFSET(INDEX(INDIRECT(CONCATENATE("menuiseries",LOWER(Ouvertures!J15))),MATCH(CEILING(Ouvertures!C15*1000,50),INDIRECT(CONCATENATE("menuiseries",LOWER(Ouvertures!J15),"[Hauteur]")),0),MATCH(ROUNDUP(Ouvertures!B15*1000,-2),prix!$C$1:$N$1,0)+2),2,0)))</f>
        <v>#REF!</v>
      </c>
    </row>
    <row r="53" spans="1:2" x14ac:dyDescent="0.2">
      <c r="A53" s="81">
        <f>IF(Ouvertures!$K16=PROGRAMME!$L$9,1,IF(Ouvertures!$K16=PROGRAMME!$L$10,1,IF(Ouvertures!$K16=PROGRAMME!$L$11,1,IF(Ouvertures!$K16=PROGRAMME!$L$12,2,IF(Ouvertures!$K16=PROGRAMME!$L$13,2,IF(Ouvertures!$K16=PROGRAMME!$L$14,3,IF(Ouvertures!$K16=PROGRAMME!$L$15,3,IF(Ouvertures!$K16=PROGRAMME!$L$16,4,))))))))</f>
        <v>0</v>
      </c>
      <c r="B53" s="79" t="e">
        <f ca="1">IF($A53=1,INDEX(INDIRECT(CONCATENATE("menuiseries",LOWER(Ouvertures!J16))),MATCH(CEILING(Ouvertures!C16*1000,50),INDIRECT(CONCATENATE("menuiseries",LOWER(Ouvertures!J16),"[Hauteur]")),0),MATCH(ROUNDUP(Ouvertures!B16*1000,-2),prix!$C$1:$N$1,0)+2),IF($A53=2,OFFSET(INDEX(INDIRECT(CONCATENATE("menuiseries",LOWER(Ouvertures!J16))),MATCH(CEILING(Ouvertures!C16*1000,50),INDIRECT(CONCATENATE("menuiseries",LOWER(Ouvertures!J16),"[Hauteur]")),0),MATCH(ROUNDUP(Ouvertures!B16*1000,-2),prix!$C$1:$N$1,0)+2),1,0),OFFSET(INDEX(INDIRECT(CONCATENATE("menuiseries",LOWER(Ouvertures!J16))),MATCH(CEILING(Ouvertures!C16*1000,50),INDIRECT(CONCATENATE("menuiseries",LOWER(Ouvertures!J16),"[Hauteur]")),0),MATCH(ROUNDUP(Ouvertures!B16*1000,-2),prix!$C$1:$N$1,0)+2),2,0)))</f>
        <v>#REF!</v>
      </c>
    </row>
    <row r="54" spans="1:2" x14ac:dyDescent="0.2">
      <c r="A54" s="81">
        <f>IF(Ouvertures!$K17=PROGRAMME!$L$9,1,IF(Ouvertures!$K17=PROGRAMME!$L$10,1,IF(Ouvertures!$K17=PROGRAMME!$L$11,1,IF(Ouvertures!$K17=PROGRAMME!$L$12,2,IF(Ouvertures!$K17=PROGRAMME!$L$13,2,IF(Ouvertures!$K17=PROGRAMME!$L$14,3,IF(Ouvertures!$K17=PROGRAMME!$L$15,3,IF(Ouvertures!$K17=PROGRAMME!$L$16,4,))))))))</f>
        <v>0</v>
      </c>
      <c r="B54" s="79" t="e">
        <f ca="1">IF($A54=1,INDEX(INDIRECT(CONCATENATE("menuiseries",LOWER(Ouvertures!J17))),MATCH(CEILING(Ouvertures!C17*1000,50),INDIRECT(CONCATENATE("menuiseries",LOWER(Ouvertures!J17),"[Hauteur]")),0),MATCH(ROUNDUP(Ouvertures!B17*1000,-2),prix!$C$1:$N$1,0)+2),IF($A54=2,OFFSET(INDEX(INDIRECT(CONCATENATE("menuiseries",LOWER(Ouvertures!J17))),MATCH(CEILING(Ouvertures!C17*1000,50),INDIRECT(CONCATENATE("menuiseries",LOWER(Ouvertures!J17),"[Hauteur]")),0),MATCH(ROUNDUP(Ouvertures!B17*1000,-2),prix!$C$1:$N$1,0)+2),1,0),OFFSET(INDEX(INDIRECT(CONCATENATE("menuiseries",LOWER(Ouvertures!J17))),MATCH(CEILING(Ouvertures!C17*1000,50),INDIRECT(CONCATENATE("menuiseries",LOWER(Ouvertures!J17),"[Hauteur]")),0),MATCH(ROUNDUP(Ouvertures!B17*1000,-2),prix!$C$1:$N$1,0)+2),2,0)))</f>
        <v>#REF!</v>
      </c>
    </row>
    <row r="55" spans="1:2" x14ac:dyDescent="0.2">
      <c r="A55" s="81">
        <f>IF(Ouvertures!$K18=PROGRAMME!$L$9,1,IF(Ouvertures!$K18=PROGRAMME!$L$10,1,IF(Ouvertures!$K18=PROGRAMME!$L$11,1,IF(Ouvertures!$K18=PROGRAMME!$L$12,2,IF(Ouvertures!$K18=PROGRAMME!$L$13,2,IF(Ouvertures!$K18=PROGRAMME!$L$14,3,IF(Ouvertures!$K18=PROGRAMME!$L$15,3,IF(Ouvertures!$K18=PROGRAMME!$L$16,4,))))))))</f>
        <v>0</v>
      </c>
      <c r="B55" s="79" t="e">
        <f ca="1">IF($A55=1,INDEX(INDIRECT(CONCATENATE("menuiseries",LOWER(Ouvertures!J18))),MATCH(CEILING(Ouvertures!C18*1000,50),INDIRECT(CONCATENATE("menuiseries",LOWER(Ouvertures!J18),"[Hauteur]")),0),MATCH(ROUNDUP(Ouvertures!B18*1000,-2),prix!$C$1:$N$1,0)+2),IF($A55=2,OFFSET(INDEX(INDIRECT(CONCATENATE("menuiseries",LOWER(Ouvertures!J18))),MATCH(CEILING(Ouvertures!C18*1000,50),INDIRECT(CONCATENATE("menuiseries",LOWER(Ouvertures!J18),"[Hauteur]")),0),MATCH(ROUNDUP(Ouvertures!B18*1000,-2),prix!$C$1:$N$1,0)+2),1,0),OFFSET(INDEX(INDIRECT(CONCATENATE("menuiseries",LOWER(Ouvertures!J18))),MATCH(CEILING(Ouvertures!C18*1000,50),INDIRECT(CONCATENATE("menuiseries",LOWER(Ouvertures!J18),"[Hauteur]")),0),MATCH(ROUNDUP(Ouvertures!B18*1000,-2),prix!$C$1:$N$1,0)+2),2,0)))</f>
        <v>#REF!</v>
      </c>
    </row>
    <row r="56" spans="1:2" x14ac:dyDescent="0.2">
      <c r="A56" s="81">
        <f>IF(Ouvertures!$K19=PROGRAMME!$L$9,1,IF(Ouvertures!$K19=PROGRAMME!$L$10,1,IF(Ouvertures!$K19=PROGRAMME!$L$11,1,IF(Ouvertures!$K19=PROGRAMME!$L$12,2,IF(Ouvertures!$K19=PROGRAMME!$L$13,2,IF(Ouvertures!$K19=PROGRAMME!$L$14,3,IF(Ouvertures!$K19=PROGRAMME!$L$15,3,IF(Ouvertures!$K19=PROGRAMME!$L$16,4,))))))))</f>
        <v>0</v>
      </c>
      <c r="B56" s="79" t="e">
        <f ca="1">IF($A56=1,INDEX(INDIRECT(CONCATENATE("menuiseries",LOWER(Ouvertures!J19))),MATCH(CEILING(Ouvertures!C19*1000,50),INDIRECT(CONCATENATE("menuiseries",LOWER(Ouvertures!J19),"[Hauteur]")),0),MATCH(ROUNDUP(Ouvertures!B19*1000,-2),prix!$C$1:$N$1,0)+2),IF($A56=2,OFFSET(INDEX(INDIRECT(CONCATENATE("menuiseries",LOWER(Ouvertures!J19))),MATCH(CEILING(Ouvertures!C19*1000,50),INDIRECT(CONCATENATE("menuiseries",LOWER(Ouvertures!J19),"[Hauteur]")),0),MATCH(ROUNDUP(Ouvertures!B19*1000,-2),prix!$C$1:$N$1,0)+2),1,0),OFFSET(INDEX(INDIRECT(CONCATENATE("menuiseries",LOWER(Ouvertures!J19))),MATCH(CEILING(Ouvertures!C19*1000,50),INDIRECT(CONCATENATE("menuiseries",LOWER(Ouvertures!J19),"[Hauteur]")),0),MATCH(ROUNDUP(Ouvertures!B19*1000,-2),prix!$C$1:$N$1,0)+2),2,0)))</f>
        <v>#REF!</v>
      </c>
    </row>
    <row r="57" spans="1:2" x14ac:dyDescent="0.2">
      <c r="A57" s="81">
        <f>IF(Ouvertures!$K20=PROGRAMME!$L$9,1,IF(Ouvertures!$K20=PROGRAMME!$L$10,1,IF(Ouvertures!$K20=PROGRAMME!$L$11,1,IF(Ouvertures!$K20=PROGRAMME!$L$12,2,IF(Ouvertures!$K20=PROGRAMME!$L$13,2,IF(Ouvertures!$K20=PROGRAMME!$L$14,3,IF(Ouvertures!$K20=PROGRAMME!$L$15,3,IF(Ouvertures!$K20=PROGRAMME!$L$16,4,))))))))</f>
        <v>0</v>
      </c>
      <c r="B57" s="79" t="e">
        <f ca="1">IF($A57=1,INDEX(INDIRECT(CONCATENATE("menuiseries",LOWER(Ouvertures!J20))),MATCH(CEILING(Ouvertures!C20*1000,50),INDIRECT(CONCATENATE("menuiseries",LOWER(Ouvertures!J20),"[Hauteur]")),0),MATCH(ROUNDUP(Ouvertures!B20*1000,-2),prix!$C$1:$N$1,0)+2),IF($A57=2,OFFSET(INDEX(INDIRECT(CONCATENATE("menuiseries",LOWER(Ouvertures!J20))),MATCH(CEILING(Ouvertures!C20*1000,50),INDIRECT(CONCATENATE("menuiseries",LOWER(Ouvertures!J20),"[Hauteur]")),0),MATCH(ROUNDUP(Ouvertures!B20*1000,-2),prix!$C$1:$N$1,0)+2),1,0),OFFSET(INDEX(INDIRECT(CONCATENATE("menuiseries",LOWER(Ouvertures!J20))),MATCH(CEILING(Ouvertures!C20*1000,50),INDIRECT(CONCATENATE("menuiseries",LOWER(Ouvertures!J20),"[Hauteur]")),0),MATCH(ROUNDUP(Ouvertures!B20*1000,-2),prix!$C$1:$N$1,0)+2),2,0)))</f>
        <v>#REF!</v>
      </c>
    </row>
    <row r="58" spans="1:2" x14ac:dyDescent="0.2">
      <c r="A58" s="81">
        <f>IF(Ouvertures!$K21=PROGRAMME!$L$9,1,IF(Ouvertures!$K21=PROGRAMME!$L$10,1,IF(Ouvertures!$K21=PROGRAMME!$L$11,1,IF(Ouvertures!$K21=PROGRAMME!$L$12,2,IF(Ouvertures!$K21=PROGRAMME!$L$13,2,IF(Ouvertures!$K21=PROGRAMME!$L$14,3,IF(Ouvertures!$K21=PROGRAMME!$L$15,3,IF(Ouvertures!$K21=PROGRAMME!$L$16,4,))))))))</f>
        <v>0</v>
      </c>
      <c r="B58" s="79" t="e">
        <f ca="1">IF($A58=1,INDEX(INDIRECT(CONCATENATE("menuiseries",LOWER(Ouvertures!J21))),MATCH(CEILING(Ouvertures!C21*1000,50),INDIRECT(CONCATENATE("menuiseries",LOWER(Ouvertures!J21),"[Hauteur]")),0),MATCH(ROUNDUP(Ouvertures!B21*1000,-2),prix!$C$1:$N$1,0)+2),IF($A58=2,OFFSET(INDEX(INDIRECT(CONCATENATE("menuiseries",LOWER(Ouvertures!J21))),MATCH(CEILING(Ouvertures!C21*1000,50),INDIRECT(CONCATENATE("menuiseries",LOWER(Ouvertures!J21),"[Hauteur]")),0),MATCH(ROUNDUP(Ouvertures!B21*1000,-2),prix!$C$1:$N$1,0)+2),1,0),OFFSET(INDEX(INDIRECT(CONCATENATE("menuiseries",LOWER(Ouvertures!J21))),MATCH(CEILING(Ouvertures!C21*1000,50),INDIRECT(CONCATENATE("menuiseries",LOWER(Ouvertures!J21),"[Hauteur]")),0),MATCH(ROUNDUP(Ouvertures!B21*1000,-2),prix!$C$1:$N$1,0)+2),2,0)))</f>
        <v>#REF!</v>
      </c>
    </row>
    <row r="59" spans="1:2" x14ac:dyDescent="0.2">
      <c r="A59" s="81">
        <f>IF(Ouvertures!$K22=PROGRAMME!$L$9,1,IF(Ouvertures!$K22=PROGRAMME!$L$10,1,IF(Ouvertures!$K22=PROGRAMME!$L$11,1,IF(Ouvertures!$K22=PROGRAMME!$L$12,2,IF(Ouvertures!$K22=PROGRAMME!$L$13,2,IF(Ouvertures!$K22=PROGRAMME!$L$14,3,IF(Ouvertures!$K22=PROGRAMME!$L$15,3,IF(Ouvertures!$K22=PROGRAMME!$L$16,4,))))))))</f>
        <v>0</v>
      </c>
      <c r="B59" s="79" t="e">
        <f ca="1">IF($A59=1,INDEX(INDIRECT(CONCATENATE("menuiseries",LOWER(Ouvertures!J22))),MATCH(CEILING(Ouvertures!C22*1000,50),INDIRECT(CONCATENATE("menuiseries",LOWER(Ouvertures!J22),"[Hauteur]")),0),MATCH(ROUNDUP(Ouvertures!B22*1000,-2),prix!$C$1:$N$1,0)+2),IF($A59=2,OFFSET(INDEX(INDIRECT(CONCATENATE("menuiseries",LOWER(Ouvertures!J22))),MATCH(CEILING(Ouvertures!C22*1000,50),INDIRECT(CONCATENATE("menuiseries",LOWER(Ouvertures!J22),"[Hauteur]")),0),MATCH(ROUNDUP(Ouvertures!B22*1000,-2),prix!$C$1:$N$1,0)+2),1,0),OFFSET(INDEX(INDIRECT(CONCATENATE("menuiseries",LOWER(Ouvertures!J22))),MATCH(CEILING(Ouvertures!C22*1000,50),INDIRECT(CONCATENATE("menuiseries",LOWER(Ouvertures!J22),"[Hauteur]")),0),MATCH(ROUNDUP(Ouvertures!B22*1000,-2),prix!$C$1:$N$1,0)+2),2,0)))</f>
        <v>#REF!</v>
      </c>
    </row>
    <row r="60" spans="1:2" x14ac:dyDescent="0.2">
      <c r="A60" s="81">
        <f>IF(Ouvertures!$K23=PROGRAMME!$L$9,1,IF(Ouvertures!$K23=PROGRAMME!$L$10,1,IF(Ouvertures!$K23=PROGRAMME!$L$11,1,IF(Ouvertures!$K23=PROGRAMME!$L$12,2,IF(Ouvertures!$K23=PROGRAMME!$L$13,2,IF(Ouvertures!$K23=PROGRAMME!$L$14,3,IF(Ouvertures!$K23=PROGRAMME!$L$15,3,IF(Ouvertures!$K23=PROGRAMME!$L$16,4,))))))))</f>
        <v>0</v>
      </c>
      <c r="B60" s="79" t="e">
        <f ca="1">IF($A60=1,INDEX(INDIRECT(CONCATENATE("menuiseries",LOWER(Ouvertures!J23))),MATCH(CEILING(Ouvertures!C23*1000,50),INDIRECT(CONCATENATE("menuiseries",LOWER(Ouvertures!J23),"[Hauteur]")),0),MATCH(ROUNDUP(Ouvertures!B23*1000,-2),prix!$C$1:$N$1,0)+2),IF($A60=2,OFFSET(INDEX(INDIRECT(CONCATENATE("menuiseries",LOWER(Ouvertures!J23))),MATCH(CEILING(Ouvertures!C23*1000,50),INDIRECT(CONCATENATE("menuiseries",LOWER(Ouvertures!J23),"[Hauteur]")),0),MATCH(ROUNDUP(Ouvertures!B23*1000,-2),prix!$C$1:$N$1,0)+2),1,0),OFFSET(INDEX(INDIRECT(CONCATENATE("menuiseries",LOWER(Ouvertures!J23))),MATCH(CEILING(Ouvertures!C23*1000,50),INDIRECT(CONCATENATE("menuiseries",LOWER(Ouvertures!J23),"[Hauteur]")),0),MATCH(ROUNDUP(Ouvertures!B23*1000,-2),prix!$C$1:$N$1,0)+2),2,0)))</f>
        <v>#REF!</v>
      </c>
    </row>
    <row r="61" spans="1:2" x14ac:dyDescent="0.2">
      <c r="A61" s="81">
        <f>IF(Ouvertures!$K24=PROGRAMME!$L$9,1,IF(Ouvertures!$K24=PROGRAMME!$L$10,1,IF(Ouvertures!$K24=PROGRAMME!$L$11,1,IF(Ouvertures!$K24=PROGRAMME!$L$12,2,IF(Ouvertures!$K24=PROGRAMME!$L$13,2,IF(Ouvertures!$K24=PROGRAMME!$L$14,3,IF(Ouvertures!$K24=PROGRAMME!$L$15,3,IF(Ouvertures!$K24=PROGRAMME!$L$16,4,))))))))</f>
        <v>0</v>
      </c>
      <c r="B61" s="79" t="e">
        <f ca="1">IF($A61=1,INDEX(INDIRECT(CONCATENATE("menuiseries",LOWER(Ouvertures!J24))),MATCH(CEILING(Ouvertures!C24*1000,50),INDIRECT(CONCATENATE("menuiseries",LOWER(Ouvertures!J24),"[Hauteur]")),0),MATCH(ROUNDUP(Ouvertures!B24*1000,-2),prix!$C$1:$N$1,0)+2),IF($A61=2,OFFSET(INDEX(INDIRECT(CONCATENATE("menuiseries",LOWER(Ouvertures!J24))),MATCH(CEILING(Ouvertures!C24*1000,50),INDIRECT(CONCATENATE("menuiseries",LOWER(Ouvertures!J24),"[Hauteur]")),0),MATCH(ROUNDUP(Ouvertures!B24*1000,-2),prix!$C$1:$N$1,0)+2),1,0),OFFSET(INDEX(INDIRECT(CONCATENATE("menuiseries",LOWER(Ouvertures!J24))),MATCH(CEILING(Ouvertures!C24*1000,50),INDIRECT(CONCATENATE("menuiseries",LOWER(Ouvertures!J24),"[Hauteur]")),0),MATCH(ROUNDUP(Ouvertures!B24*1000,-2),prix!$C$1:$N$1,0)+2),2,0)))</f>
        <v>#REF!</v>
      </c>
    </row>
    <row r="62" spans="1:2" x14ac:dyDescent="0.2">
      <c r="A62" s="81">
        <f>IF(Ouvertures!$K25=PROGRAMME!$L$9,1,IF(Ouvertures!$K25=PROGRAMME!$L$10,1,IF(Ouvertures!$K25=PROGRAMME!$L$11,1,IF(Ouvertures!$K25=PROGRAMME!$L$12,2,IF(Ouvertures!$K25=PROGRAMME!$L$13,2,IF(Ouvertures!$K25=PROGRAMME!$L$14,3,IF(Ouvertures!$K25=PROGRAMME!$L$15,3,IF(Ouvertures!$K25=PROGRAMME!$L$16,4,))))))))</f>
        <v>0</v>
      </c>
      <c r="B62" s="79" t="e">
        <f ca="1">IF($A62=1,INDEX(INDIRECT(CONCATENATE("menuiseries",LOWER(Ouvertures!J25))),MATCH(CEILING(Ouvertures!C25*1000,50),INDIRECT(CONCATENATE("menuiseries",LOWER(Ouvertures!J25),"[Hauteur]")),0),MATCH(ROUNDUP(Ouvertures!B25*1000,-2),prix!$C$1:$N$1,0)+2),IF($A62=2,OFFSET(INDEX(INDIRECT(CONCATENATE("menuiseries",LOWER(Ouvertures!J25))),MATCH(CEILING(Ouvertures!C25*1000,50),INDIRECT(CONCATENATE("menuiseries",LOWER(Ouvertures!J25),"[Hauteur]")),0),MATCH(ROUNDUP(Ouvertures!B25*1000,-2),prix!$C$1:$N$1,0)+2),1,0),OFFSET(INDEX(INDIRECT(CONCATENATE("menuiseries",LOWER(Ouvertures!J25))),MATCH(CEILING(Ouvertures!C25*1000,50),INDIRECT(CONCATENATE("menuiseries",LOWER(Ouvertures!J25),"[Hauteur]")),0),MATCH(ROUNDUP(Ouvertures!B25*1000,-2),prix!$C$1:$N$1,0)+2),2,0)))</f>
        <v>#REF!</v>
      </c>
    </row>
    <row r="63" spans="1:2" x14ac:dyDescent="0.2">
      <c r="A63" s="81">
        <f>IF(Ouvertures!$K26=PROGRAMME!$L$9,1,IF(Ouvertures!$K26=PROGRAMME!$L$10,1,IF(Ouvertures!$K26=PROGRAMME!$L$11,1,IF(Ouvertures!$K26=PROGRAMME!$L$12,2,IF(Ouvertures!$K26=PROGRAMME!$L$13,2,IF(Ouvertures!$K26=PROGRAMME!$L$14,3,IF(Ouvertures!$K26=PROGRAMME!$L$15,3,IF(Ouvertures!$K26=PROGRAMME!$L$16,4,))))))))</f>
        <v>0</v>
      </c>
      <c r="B63" s="79" t="e">
        <f ca="1">IF($A63=1,INDEX(INDIRECT(CONCATENATE("menuiseries",LOWER(Ouvertures!J26))),MATCH(CEILING(Ouvertures!C26*1000,50),INDIRECT(CONCATENATE("menuiseries",LOWER(Ouvertures!J26),"[Hauteur]")),0),MATCH(ROUNDUP(Ouvertures!B26*1000,-2),prix!$C$1:$N$1,0)+2),IF($A63=2,OFFSET(INDEX(INDIRECT(CONCATENATE("menuiseries",LOWER(Ouvertures!J26))),MATCH(CEILING(Ouvertures!C26*1000,50),INDIRECT(CONCATENATE("menuiseries",LOWER(Ouvertures!J26),"[Hauteur]")),0),MATCH(ROUNDUP(Ouvertures!B26*1000,-2),prix!$C$1:$N$1,0)+2),1,0),OFFSET(INDEX(INDIRECT(CONCATENATE("menuiseries",LOWER(Ouvertures!J26))),MATCH(CEILING(Ouvertures!C26*1000,50),INDIRECT(CONCATENATE("menuiseries",LOWER(Ouvertures!J26),"[Hauteur]")),0),MATCH(ROUNDUP(Ouvertures!B26*1000,-2),prix!$C$1:$N$1,0)+2),2,0)))</f>
        <v>#REF!</v>
      </c>
    </row>
    <row r="64" spans="1:2" x14ac:dyDescent="0.2">
      <c r="A64" s="81">
        <f>IF(Ouvertures!$K27=PROGRAMME!$L$9,1,IF(Ouvertures!$K27=PROGRAMME!$L$10,1,IF(Ouvertures!$K27=PROGRAMME!$L$11,1,IF(Ouvertures!$K27=PROGRAMME!$L$12,2,IF(Ouvertures!$K27=PROGRAMME!$L$13,2,IF(Ouvertures!$K27=PROGRAMME!$L$14,3,IF(Ouvertures!$K27=PROGRAMME!$L$15,3,IF(Ouvertures!$K27=PROGRAMME!$L$16,4,))))))))</f>
        <v>0</v>
      </c>
      <c r="B64" s="79" t="e">
        <f ca="1">IF($A64=1,INDEX(INDIRECT(CONCATENATE("menuiseries",LOWER(Ouvertures!J27))),MATCH(CEILING(Ouvertures!C27*1000,50),INDIRECT(CONCATENATE("menuiseries",LOWER(Ouvertures!J27),"[Hauteur]")),0),MATCH(ROUNDUP(Ouvertures!B27*1000,-2),prix!$C$1:$N$1,0)+2),IF($A64=2,OFFSET(INDEX(INDIRECT(CONCATENATE("menuiseries",LOWER(Ouvertures!J27))),MATCH(CEILING(Ouvertures!C27*1000,50),INDIRECT(CONCATENATE("menuiseries",LOWER(Ouvertures!J27),"[Hauteur]")),0),MATCH(ROUNDUP(Ouvertures!B27*1000,-2),prix!$C$1:$N$1,0)+2),1,0),OFFSET(INDEX(INDIRECT(CONCATENATE("menuiseries",LOWER(Ouvertures!J27))),MATCH(CEILING(Ouvertures!C27*1000,50),INDIRECT(CONCATENATE("menuiseries",LOWER(Ouvertures!J27),"[Hauteur]")),0),MATCH(ROUNDUP(Ouvertures!B27*1000,-2),prix!$C$1:$N$1,0)+2),2,0)))</f>
        <v>#REF!</v>
      </c>
    </row>
    <row r="65" spans="1:2" x14ac:dyDescent="0.2">
      <c r="A65" s="81">
        <f>IF(Ouvertures!$K28=PROGRAMME!$L$9,1,IF(Ouvertures!$K28=PROGRAMME!$L$10,1,IF(Ouvertures!$K28=PROGRAMME!$L$11,1,IF(Ouvertures!$K28=PROGRAMME!$L$12,2,IF(Ouvertures!$K28=PROGRAMME!$L$13,2,IF(Ouvertures!$K28=PROGRAMME!$L$14,3,IF(Ouvertures!$K28=PROGRAMME!$L$15,3,IF(Ouvertures!$K28=PROGRAMME!$L$16,4,))))))))</f>
        <v>0</v>
      </c>
      <c r="B65" s="79" t="e">
        <f ca="1">IF($A65=1,INDEX(INDIRECT(CONCATENATE("menuiseries",LOWER(Ouvertures!J28))),MATCH(CEILING(Ouvertures!C28*1000,50),INDIRECT(CONCATENATE("menuiseries",LOWER(Ouvertures!J28),"[Hauteur]")),0),MATCH(ROUNDUP(Ouvertures!B28*1000,-2),prix!$C$1:$N$1,0)+2),IF($A65=2,OFFSET(INDEX(INDIRECT(CONCATENATE("menuiseries",LOWER(Ouvertures!J28))),MATCH(CEILING(Ouvertures!C28*1000,50),INDIRECT(CONCATENATE("menuiseries",LOWER(Ouvertures!J28),"[Hauteur]")),0),MATCH(ROUNDUP(Ouvertures!B28*1000,-2),prix!$C$1:$N$1,0)+2),1,0),OFFSET(INDEX(INDIRECT(CONCATENATE("menuiseries",LOWER(Ouvertures!J28))),MATCH(CEILING(Ouvertures!C28*1000,50),INDIRECT(CONCATENATE("menuiseries",LOWER(Ouvertures!J28),"[Hauteur]")),0),MATCH(ROUNDUP(Ouvertures!B28*1000,-2),prix!$C$1:$N$1,0)+2),2,0)))</f>
        <v>#REF!</v>
      </c>
    </row>
    <row r="66" spans="1:2" x14ac:dyDescent="0.2">
      <c r="A66" s="81">
        <f>IF(Ouvertures!$K29=PROGRAMME!$L$9,1,IF(Ouvertures!$K29=PROGRAMME!$L$10,1,IF(Ouvertures!$K29=PROGRAMME!$L$11,1,IF(Ouvertures!$K29=PROGRAMME!$L$12,2,IF(Ouvertures!$K29=PROGRAMME!$L$13,2,IF(Ouvertures!$K29=PROGRAMME!$L$14,3,IF(Ouvertures!$K29=PROGRAMME!$L$15,3,IF(Ouvertures!$K29=PROGRAMME!$L$16,4,))))))))</f>
        <v>0</v>
      </c>
      <c r="B66" s="79" t="e">
        <f ca="1">IF($A66=1,INDEX(INDIRECT(CONCATENATE("menuiseries",LOWER(Ouvertures!J29))),MATCH(CEILING(Ouvertures!C29*1000,50),INDIRECT(CONCATENATE("menuiseries",LOWER(Ouvertures!J29),"[Hauteur]")),0),MATCH(ROUNDUP(Ouvertures!B29*1000,-2),prix!$C$1:$N$1,0)+2),IF($A66=2,OFFSET(INDEX(INDIRECT(CONCATENATE("menuiseries",LOWER(Ouvertures!J29))),MATCH(CEILING(Ouvertures!C29*1000,50),INDIRECT(CONCATENATE("menuiseries",LOWER(Ouvertures!J29),"[Hauteur]")),0),MATCH(ROUNDUP(Ouvertures!B29*1000,-2),prix!$C$1:$N$1,0)+2),1,0),OFFSET(INDEX(INDIRECT(CONCATENATE("menuiseries",LOWER(Ouvertures!J29))),MATCH(CEILING(Ouvertures!C29*1000,50),INDIRECT(CONCATENATE("menuiseries",LOWER(Ouvertures!J29),"[Hauteur]")),0),MATCH(ROUNDUP(Ouvertures!B29*1000,-2),prix!$C$1:$N$1,0)+2),2,0)))</f>
        <v>#REF!</v>
      </c>
    </row>
    <row r="67" spans="1:2" x14ac:dyDescent="0.2">
      <c r="A67" s="81">
        <f>IF(Ouvertures!$K30=PROGRAMME!$L$9,1,IF(Ouvertures!$K30=PROGRAMME!$L$10,1,IF(Ouvertures!$K30=PROGRAMME!$L$11,1,IF(Ouvertures!$K30=PROGRAMME!$L$12,2,IF(Ouvertures!$K30=PROGRAMME!$L$13,2,IF(Ouvertures!$K30=PROGRAMME!$L$14,3,IF(Ouvertures!$K30=PROGRAMME!$L$15,3,IF(Ouvertures!$K30=PROGRAMME!$L$16,4,))))))))</f>
        <v>0</v>
      </c>
      <c r="B67" s="79" t="e">
        <f ca="1">IF($A67=1,INDEX(INDIRECT(CONCATENATE("menuiseries",LOWER(Ouvertures!J30))),MATCH(CEILING(Ouvertures!C30*1000,50),INDIRECT(CONCATENATE("menuiseries",LOWER(Ouvertures!J30),"[Hauteur]")),0),MATCH(ROUNDUP(Ouvertures!B30*1000,-2),prix!$C$1:$N$1,0)+2),IF($A67=2,OFFSET(INDEX(INDIRECT(CONCATENATE("menuiseries",LOWER(Ouvertures!J30))),MATCH(CEILING(Ouvertures!C30*1000,50),INDIRECT(CONCATENATE("menuiseries",LOWER(Ouvertures!J30),"[Hauteur]")),0),MATCH(ROUNDUP(Ouvertures!B30*1000,-2),prix!$C$1:$N$1,0)+2),1,0),OFFSET(INDEX(INDIRECT(CONCATENATE("menuiseries",LOWER(Ouvertures!J30))),MATCH(CEILING(Ouvertures!C30*1000,50),INDIRECT(CONCATENATE("menuiseries",LOWER(Ouvertures!J30),"[Hauteur]")),0),MATCH(ROUNDUP(Ouvertures!B30*1000,-2),prix!$C$1:$N$1,0)+2),2,0)))</f>
        <v>#REF!</v>
      </c>
    </row>
    <row r="68" spans="1:2" x14ac:dyDescent="0.2">
      <c r="A68" s="81">
        <f>IF(Ouvertures!$K31=PROGRAMME!$L$9,1,IF(Ouvertures!$K31=PROGRAMME!$L$10,1,IF(Ouvertures!$K31=PROGRAMME!$L$11,1,IF(Ouvertures!$K31=PROGRAMME!$L$12,2,IF(Ouvertures!$K31=PROGRAMME!$L$13,2,IF(Ouvertures!$K31=PROGRAMME!$L$14,3,IF(Ouvertures!$K31=PROGRAMME!$L$15,3,IF(Ouvertures!$K31=PROGRAMME!$L$16,4,))))))))</f>
        <v>0</v>
      </c>
      <c r="B68" s="79" t="e">
        <f ca="1">IF($A68=1,INDEX(INDIRECT(CONCATENATE("menuiseries",LOWER(Ouvertures!J31))),MATCH(CEILING(Ouvertures!C31*1000,50),INDIRECT(CONCATENATE("menuiseries",LOWER(Ouvertures!J31),"[Hauteur]")),0),MATCH(ROUNDUP(Ouvertures!B31*1000,-2),prix!$C$1:$N$1,0)+2),IF($A68=2,OFFSET(INDEX(INDIRECT(CONCATENATE("menuiseries",LOWER(Ouvertures!J31))),MATCH(CEILING(Ouvertures!C31*1000,50),INDIRECT(CONCATENATE("menuiseries",LOWER(Ouvertures!J31),"[Hauteur]")),0),MATCH(ROUNDUP(Ouvertures!B31*1000,-2),prix!$C$1:$N$1,0)+2),1,0),OFFSET(INDEX(INDIRECT(CONCATENATE("menuiseries",LOWER(Ouvertures!J31))),MATCH(CEILING(Ouvertures!C31*1000,50),INDIRECT(CONCATENATE("menuiseries",LOWER(Ouvertures!J31),"[Hauteur]")),0),MATCH(ROUNDUP(Ouvertures!B31*1000,-2),prix!$C$1:$N$1,0)+2),2,0)))</f>
        <v>#REF!</v>
      </c>
    </row>
    <row r="69" spans="1:2" x14ac:dyDescent="0.2">
      <c r="A69" s="81">
        <f>IF(Ouvertures!$K32=PROGRAMME!$L$9,1,IF(Ouvertures!$K32=PROGRAMME!$L$10,1,IF(Ouvertures!$K32=PROGRAMME!$L$11,1,IF(Ouvertures!$K32=PROGRAMME!$L$12,2,IF(Ouvertures!$K32=PROGRAMME!$L$13,2,IF(Ouvertures!$K32=PROGRAMME!$L$14,3,IF(Ouvertures!$K32=PROGRAMME!$L$15,3,IF(Ouvertures!$K32=PROGRAMME!$L$16,4,))))))))</f>
        <v>0</v>
      </c>
      <c r="B69" s="79" t="e">
        <f ca="1">IF($A69=1,INDEX(INDIRECT(CONCATENATE("menuiseries",LOWER(Ouvertures!J32))),MATCH(CEILING(Ouvertures!C32*1000,50),INDIRECT(CONCATENATE("menuiseries",LOWER(Ouvertures!J32),"[Hauteur]")),0),MATCH(ROUNDUP(Ouvertures!B32*1000,-2),prix!$C$1:$N$1,0)+2),IF($A69=2,OFFSET(INDEX(INDIRECT(CONCATENATE("menuiseries",LOWER(Ouvertures!J32))),MATCH(CEILING(Ouvertures!C32*1000,50),INDIRECT(CONCATENATE("menuiseries",LOWER(Ouvertures!J32),"[Hauteur]")),0),MATCH(ROUNDUP(Ouvertures!B32*1000,-2),prix!$C$1:$N$1,0)+2),1,0),OFFSET(INDEX(INDIRECT(CONCATENATE("menuiseries",LOWER(Ouvertures!J32))),MATCH(CEILING(Ouvertures!C32*1000,50),INDIRECT(CONCATENATE("menuiseries",LOWER(Ouvertures!J32),"[Hauteur]")),0),MATCH(ROUNDUP(Ouvertures!B32*1000,-2),prix!$C$1:$N$1,0)+2),2,0)))</f>
        <v>#REF!</v>
      </c>
    </row>
    <row r="70" spans="1:2" x14ac:dyDescent="0.2">
      <c r="A70" s="81">
        <f>IF(Ouvertures!$K33=PROGRAMME!$L$9,1,IF(Ouvertures!$K33=PROGRAMME!$L$10,1,IF(Ouvertures!$K33=PROGRAMME!$L$11,1,IF(Ouvertures!$K33=PROGRAMME!$L$12,2,IF(Ouvertures!$K33=PROGRAMME!$L$13,2,IF(Ouvertures!$K33=PROGRAMME!$L$14,3,IF(Ouvertures!$K33=PROGRAMME!$L$15,3,IF(Ouvertures!$K33=PROGRAMME!$L$16,4,))))))))</f>
        <v>0</v>
      </c>
      <c r="B70" s="79" t="e">
        <f ca="1">IF($A70=1,INDEX(INDIRECT(CONCATENATE("menuiseries",LOWER(Ouvertures!J33))),MATCH(CEILING(Ouvertures!C33*1000,50),INDIRECT(CONCATENATE("menuiseries",LOWER(Ouvertures!J33),"[Hauteur]")),0),MATCH(ROUNDUP(Ouvertures!B33*1000,-2),prix!$C$1:$N$1,0)+2),IF($A70=2,OFFSET(INDEX(INDIRECT(CONCATENATE("menuiseries",LOWER(Ouvertures!J33))),MATCH(CEILING(Ouvertures!C33*1000,50),INDIRECT(CONCATENATE("menuiseries",LOWER(Ouvertures!J33),"[Hauteur]")),0),MATCH(ROUNDUP(Ouvertures!B33*1000,-2),prix!$C$1:$N$1,0)+2),1,0),OFFSET(INDEX(INDIRECT(CONCATENATE("menuiseries",LOWER(Ouvertures!J33))),MATCH(CEILING(Ouvertures!C33*1000,50),INDIRECT(CONCATENATE("menuiseries",LOWER(Ouvertures!J33),"[Hauteur]")),0),MATCH(ROUNDUP(Ouvertures!B33*1000,-2),prix!$C$1:$N$1,0)+2),2,0)))</f>
        <v>#REF!</v>
      </c>
    </row>
    <row r="71" spans="1:2" x14ac:dyDescent="0.2">
      <c r="A71" s="81">
        <f>IF(Ouvertures!$K34=PROGRAMME!$L$9,1,IF(Ouvertures!$K34=PROGRAMME!$L$10,1,IF(Ouvertures!$K34=PROGRAMME!$L$11,1,IF(Ouvertures!$K34=PROGRAMME!$L$12,2,IF(Ouvertures!$K34=PROGRAMME!$L$13,2,IF(Ouvertures!$K34=PROGRAMME!$L$14,3,IF(Ouvertures!$K34=PROGRAMME!$L$15,3,IF(Ouvertures!$K34=PROGRAMME!$L$16,4,))))))))</f>
        <v>0</v>
      </c>
      <c r="B71" s="79" t="e">
        <f ca="1">IF($A71=1,INDEX(INDIRECT(CONCATENATE("menuiseries",LOWER(Ouvertures!J34))),MATCH(CEILING(Ouvertures!C34*1000,50),INDIRECT(CONCATENATE("menuiseries",LOWER(Ouvertures!J34),"[Hauteur]")),0),MATCH(ROUNDUP(Ouvertures!B34*1000,-2),prix!$C$1:$N$1,0)+2),IF($A71=2,OFFSET(INDEX(INDIRECT(CONCATENATE("menuiseries",LOWER(Ouvertures!J34))),MATCH(CEILING(Ouvertures!C34*1000,50),INDIRECT(CONCATENATE("menuiseries",LOWER(Ouvertures!J34),"[Hauteur]")),0),MATCH(ROUNDUP(Ouvertures!B34*1000,-2),prix!$C$1:$N$1,0)+2),1,0),OFFSET(INDEX(INDIRECT(CONCATENATE("menuiseries",LOWER(Ouvertures!J34))),MATCH(CEILING(Ouvertures!C34*1000,50),INDIRECT(CONCATENATE("menuiseries",LOWER(Ouvertures!J34),"[Hauteur]")),0),MATCH(ROUNDUP(Ouvertures!B34*1000,-2),prix!$C$1:$N$1,0)+2),2,0)))</f>
        <v>#REF!</v>
      </c>
    </row>
    <row r="72" spans="1:2" x14ac:dyDescent="0.2">
      <c r="A72" s="81">
        <f>IF(Ouvertures!$K35=PROGRAMME!$L$9,1,IF(Ouvertures!$K35=PROGRAMME!$L$10,1,IF(Ouvertures!$K35=PROGRAMME!$L$11,1,IF(Ouvertures!$K35=PROGRAMME!$L$12,2,IF(Ouvertures!$K35=PROGRAMME!$L$13,2,IF(Ouvertures!$K35=PROGRAMME!$L$14,3,IF(Ouvertures!$K35=PROGRAMME!$L$15,3,IF(Ouvertures!$K35=PROGRAMME!$L$16,4,))))))))</f>
        <v>0</v>
      </c>
      <c r="B72" s="79" t="e">
        <f ca="1">IF($A72=1,INDEX(INDIRECT(CONCATENATE("menuiseries",LOWER(Ouvertures!J35))),MATCH(CEILING(Ouvertures!C35*1000,50),INDIRECT(CONCATENATE("menuiseries",LOWER(Ouvertures!J35),"[Hauteur]")),0),MATCH(ROUNDUP(Ouvertures!B35*1000,-2),prix!$C$1:$N$1,0)+2),IF($A72=2,OFFSET(INDEX(INDIRECT(CONCATENATE("menuiseries",LOWER(Ouvertures!J35))),MATCH(CEILING(Ouvertures!C35*1000,50),INDIRECT(CONCATENATE("menuiseries",LOWER(Ouvertures!J35),"[Hauteur]")),0),MATCH(ROUNDUP(Ouvertures!B35*1000,-2),prix!$C$1:$N$1,0)+2),1,0),OFFSET(INDEX(INDIRECT(CONCATENATE("menuiseries",LOWER(Ouvertures!J35))),MATCH(CEILING(Ouvertures!C35*1000,50),INDIRECT(CONCATENATE("menuiseries",LOWER(Ouvertures!J35),"[Hauteur]")),0),MATCH(ROUNDUP(Ouvertures!B35*1000,-2),prix!$C$1:$N$1,0)+2),2,0)))</f>
        <v>#REF!</v>
      </c>
    </row>
    <row r="73" spans="1:2" x14ac:dyDescent="0.2">
      <c r="A73" s="82">
        <f>IF(Ouvertures!$K36=PROGRAMME!$L$9,1,IF(Ouvertures!$K36=PROGRAMME!$L$10,1,IF(Ouvertures!$K36=PROGRAMME!$L$11,1,IF(Ouvertures!$K36=PROGRAMME!$L$12,2,IF(Ouvertures!$K36=PROGRAMME!$L$13,2,IF(Ouvertures!$K36=PROGRAMME!$L$14,3,IF(Ouvertures!$K36=PROGRAMME!$L$15,3,IF(Ouvertures!$K36=PROGRAMME!$L$16,4,))))))))</f>
        <v>0</v>
      </c>
      <c r="B73" s="79" t="e">
        <f ca="1">IF($A73=1,INDEX(INDIRECT(CONCATENATE("menuiseries",LOWER(Ouvertures!J36))),MATCH(CEILING(Ouvertures!C36*1000,50),INDIRECT(CONCATENATE("menuiseries",LOWER(Ouvertures!J36),"[Hauteur]")),0),MATCH(ROUNDUP(Ouvertures!B36*1000,-2),prix!$C$1:$N$1,0)+2),IF($A73=2,OFFSET(INDEX(INDIRECT(CONCATENATE("menuiseries",LOWER(Ouvertures!J36))),MATCH(CEILING(Ouvertures!C36*1000,50),INDIRECT(CONCATENATE("menuiseries",LOWER(Ouvertures!J36),"[Hauteur]")),0),MATCH(ROUNDUP(Ouvertures!B36*1000,-2),prix!$C$1:$N$1,0)+2),1,0),OFFSET(INDEX(INDIRECT(CONCATENATE("menuiseries",LOWER(Ouvertures!J36))),MATCH(CEILING(Ouvertures!C36*1000,50),INDIRECT(CONCATENATE("menuiseries",LOWER(Ouvertures!J36),"[Hauteur]")),0),MATCH(ROUNDUP(Ouvertures!B36*1000,-2),prix!$C$1:$N$1,0)+2),2,0)))</f>
        <v>#REF!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62"/>
  <sheetViews>
    <sheetView workbookViewId="0"/>
  </sheetViews>
  <sheetFormatPr baseColWidth="10" defaultRowHeight="13.5" x14ac:dyDescent="0.25"/>
  <cols>
    <col min="1" max="1" width="9" style="64" bestFit="1" customWidth="1"/>
    <col min="2" max="2" width="15.28515625" style="76" bestFit="1" customWidth="1"/>
    <col min="3" max="8" width="6.28515625" style="44" bestFit="1" customWidth="1"/>
    <col min="9" max="10" width="7.28515625" style="44" bestFit="1" customWidth="1"/>
    <col min="11" max="11" width="7.140625" style="44" bestFit="1" customWidth="1"/>
    <col min="12" max="14" width="7.28515625" style="44" bestFit="1" customWidth="1"/>
    <col min="15" max="16384" width="11.42578125" style="44"/>
  </cols>
  <sheetData>
    <row r="1" spans="1:14" x14ac:dyDescent="0.25">
      <c r="C1" s="44">
        <v>410</v>
      </c>
      <c r="D1" s="44">
        <v>500</v>
      </c>
      <c r="E1" s="44">
        <v>600</v>
      </c>
      <c r="F1" s="44">
        <v>700</v>
      </c>
      <c r="G1" s="44">
        <v>800</v>
      </c>
      <c r="H1" s="44">
        <v>900</v>
      </c>
      <c r="I1" s="44">
        <v>1000</v>
      </c>
      <c r="J1" s="44">
        <v>1100</v>
      </c>
      <c r="K1" s="44">
        <v>1200</v>
      </c>
      <c r="L1" s="44">
        <v>1300</v>
      </c>
      <c r="M1" s="44">
        <v>1400</v>
      </c>
      <c r="N1" s="44">
        <v>1500</v>
      </c>
    </row>
    <row r="2" spans="1:14" x14ac:dyDescent="0.25">
      <c r="A2" s="64" t="s">
        <v>415</v>
      </c>
      <c r="B2" s="76" t="s">
        <v>250</v>
      </c>
      <c r="C2" s="78" t="s">
        <v>416</v>
      </c>
      <c r="D2" s="78" t="s">
        <v>417</v>
      </c>
      <c r="E2" s="78" t="s">
        <v>418</v>
      </c>
      <c r="F2" s="78" t="s">
        <v>419</v>
      </c>
      <c r="G2" s="78" t="s">
        <v>420</v>
      </c>
      <c r="H2" s="78" t="s">
        <v>421</v>
      </c>
      <c r="I2" s="78" t="s">
        <v>422</v>
      </c>
      <c r="J2" s="78" t="s">
        <v>423</v>
      </c>
      <c r="K2" s="78" t="s">
        <v>424</v>
      </c>
      <c r="L2" s="78" t="s">
        <v>425</v>
      </c>
      <c r="M2" s="78" t="s">
        <v>426</v>
      </c>
      <c r="N2" s="78" t="s">
        <v>427</v>
      </c>
    </row>
    <row r="3" spans="1:14" x14ac:dyDescent="0.25">
      <c r="A3" s="77">
        <v>550</v>
      </c>
      <c r="B3" s="77" t="s">
        <v>414</v>
      </c>
      <c r="C3" s="77">
        <v>286</v>
      </c>
      <c r="D3" s="77">
        <v>277</v>
      </c>
      <c r="E3" s="77">
        <v>290</v>
      </c>
      <c r="F3" s="77">
        <v>302</v>
      </c>
      <c r="G3" s="77"/>
      <c r="H3" s="77"/>
      <c r="I3" s="77"/>
      <c r="J3" s="77"/>
      <c r="K3" s="77"/>
      <c r="L3" s="77"/>
      <c r="M3" s="77"/>
      <c r="N3" s="77"/>
    </row>
    <row r="4" spans="1:14" x14ac:dyDescent="0.25">
      <c r="A4" s="77"/>
      <c r="B4" s="77" t="s">
        <v>412</v>
      </c>
      <c r="C4" s="77">
        <v>294</v>
      </c>
      <c r="D4" s="77">
        <v>285</v>
      </c>
      <c r="E4" s="77">
        <v>298</v>
      </c>
      <c r="F4" s="77">
        <v>312</v>
      </c>
      <c r="G4" s="77"/>
      <c r="H4" s="77"/>
      <c r="I4" s="77"/>
      <c r="J4" s="77"/>
      <c r="K4" s="77"/>
      <c r="L4" s="77"/>
      <c r="M4" s="77"/>
      <c r="N4" s="77"/>
    </row>
    <row r="5" spans="1:14" x14ac:dyDescent="0.25">
      <c r="A5" s="77"/>
      <c r="B5" s="77" t="s">
        <v>413</v>
      </c>
      <c r="C5" s="77">
        <v>309</v>
      </c>
      <c r="D5" s="77">
        <v>301</v>
      </c>
      <c r="E5" s="77">
        <v>316</v>
      </c>
      <c r="F5" s="77">
        <v>331</v>
      </c>
      <c r="G5" s="77"/>
      <c r="H5" s="77"/>
      <c r="I5" s="77"/>
      <c r="J5" s="77"/>
      <c r="K5" s="77"/>
      <c r="L5" s="77"/>
      <c r="M5" s="77"/>
      <c r="N5" s="77"/>
    </row>
    <row r="6" spans="1:14" x14ac:dyDescent="0.25">
      <c r="A6" s="77">
        <v>650</v>
      </c>
      <c r="B6" s="77" t="s">
        <v>414</v>
      </c>
      <c r="C6" s="77">
        <v>298</v>
      </c>
      <c r="D6" s="77">
        <v>288</v>
      </c>
      <c r="E6" s="77">
        <v>301</v>
      </c>
      <c r="F6" s="77">
        <v>314</v>
      </c>
      <c r="G6" s="77">
        <v>330</v>
      </c>
      <c r="H6" s="77"/>
      <c r="I6" s="77"/>
      <c r="J6" s="77"/>
      <c r="K6" s="77"/>
      <c r="L6" s="77"/>
      <c r="M6" s="77"/>
      <c r="N6" s="77"/>
    </row>
    <row r="7" spans="1:14" x14ac:dyDescent="0.25">
      <c r="A7" s="77"/>
      <c r="B7" s="77" t="s">
        <v>412</v>
      </c>
      <c r="C7" s="77">
        <v>306</v>
      </c>
      <c r="D7" s="77">
        <v>297</v>
      </c>
      <c r="E7" s="77">
        <v>311</v>
      </c>
      <c r="F7" s="77">
        <v>325</v>
      </c>
      <c r="G7" s="77">
        <v>341</v>
      </c>
      <c r="H7" s="77"/>
      <c r="I7" s="77"/>
      <c r="J7" s="77"/>
      <c r="K7" s="77"/>
      <c r="L7" s="77"/>
      <c r="M7" s="77"/>
      <c r="N7" s="77"/>
    </row>
    <row r="8" spans="1:14" x14ac:dyDescent="0.25">
      <c r="A8" s="77"/>
      <c r="B8" s="77" t="s">
        <v>413</v>
      </c>
      <c r="C8" s="77">
        <v>322</v>
      </c>
      <c r="D8" s="77">
        <v>314</v>
      </c>
      <c r="E8" s="77">
        <v>329</v>
      </c>
      <c r="F8" s="77">
        <v>344</v>
      </c>
      <c r="G8" s="77">
        <v>363</v>
      </c>
      <c r="H8" s="77"/>
      <c r="I8" s="77"/>
      <c r="J8" s="77"/>
      <c r="K8" s="77"/>
      <c r="L8" s="77"/>
      <c r="M8" s="77"/>
      <c r="N8" s="77"/>
    </row>
    <row r="9" spans="1:14" x14ac:dyDescent="0.25">
      <c r="A9" s="77">
        <v>750</v>
      </c>
      <c r="B9" s="77" t="s">
        <v>414</v>
      </c>
      <c r="C9" s="77">
        <v>309</v>
      </c>
      <c r="D9" s="77">
        <v>299</v>
      </c>
      <c r="E9" s="77">
        <v>312</v>
      </c>
      <c r="F9" s="77">
        <v>329</v>
      </c>
      <c r="G9" s="77">
        <v>346</v>
      </c>
      <c r="H9" s="77">
        <v>363</v>
      </c>
      <c r="I9" s="77">
        <v>379</v>
      </c>
      <c r="J9" s="77"/>
      <c r="K9" s="77"/>
      <c r="L9" s="77"/>
      <c r="M9" s="77"/>
      <c r="N9" s="77"/>
    </row>
    <row r="10" spans="1:14" x14ac:dyDescent="0.25">
      <c r="A10" s="77"/>
      <c r="B10" s="77" t="s">
        <v>412</v>
      </c>
      <c r="C10" s="77">
        <v>319</v>
      </c>
      <c r="D10" s="77">
        <v>309</v>
      </c>
      <c r="E10" s="77">
        <v>323</v>
      </c>
      <c r="F10" s="77">
        <v>340</v>
      </c>
      <c r="G10" s="77">
        <v>358</v>
      </c>
      <c r="H10" s="77">
        <v>375</v>
      </c>
      <c r="I10" s="77">
        <v>392</v>
      </c>
      <c r="J10" s="77"/>
      <c r="K10" s="77"/>
      <c r="L10" s="77"/>
      <c r="M10" s="77"/>
      <c r="N10" s="77"/>
    </row>
    <row r="11" spans="1:14" x14ac:dyDescent="0.25">
      <c r="A11" s="77"/>
      <c r="B11" s="77" t="s">
        <v>413</v>
      </c>
      <c r="C11" s="77">
        <v>335</v>
      </c>
      <c r="D11" s="77">
        <v>327</v>
      </c>
      <c r="E11" s="77">
        <v>342</v>
      </c>
      <c r="F11" s="77">
        <v>361</v>
      </c>
      <c r="G11" s="77">
        <v>380</v>
      </c>
      <c r="H11" s="77">
        <v>399</v>
      </c>
      <c r="I11" s="77">
        <v>418</v>
      </c>
      <c r="J11" s="77"/>
      <c r="K11" s="77"/>
      <c r="L11" s="77"/>
      <c r="M11" s="77"/>
      <c r="N11" s="77"/>
    </row>
    <row r="12" spans="1:14" x14ac:dyDescent="0.25">
      <c r="A12" s="77">
        <v>850</v>
      </c>
      <c r="B12" s="77" t="s">
        <v>414</v>
      </c>
      <c r="C12" s="77">
        <v>320</v>
      </c>
      <c r="D12" s="77">
        <v>310</v>
      </c>
      <c r="E12" s="77">
        <v>326</v>
      </c>
      <c r="F12" s="77">
        <v>344</v>
      </c>
      <c r="G12" s="77">
        <v>361</v>
      </c>
      <c r="H12" s="77">
        <v>379</v>
      </c>
      <c r="I12" s="77">
        <v>396</v>
      </c>
      <c r="J12" s="77">
        <v>413</v>
      </c>
      <c r="K12" s="77"/>
      <c r="L12" s="77"/>
      <c r="M12" s="77"/>
      <c r="N12" s="77"/>
    </row>
    <row r="13" spans="1:14" x14ac:dyDescent="0.25">
      <c r="A13" s="77"/>
      <c r="B13" s="77" t="s">
        <v>412</v>
      </c>
      <c r="C13" s="77">
        <v>331</v>
      </c>
      <c r="D13" s="77">
        <v>321</v>
      </c>
      <c r="E13" s="77">
        <v>338</v>
      </c>
      <c r="F13" s="77">
        <v>356</v>
      </c>
      <c r="G13" s="77">
        <v>374</v>
      </c>
      <c r="H13" s="77">
        <v>392</v>
      </c>
      <c r="I13" s="77">
        <v>410</v>
      </c>
      <c r="J13" s="77">
        <v>428</v>
      </c>
      <c r="K13" s="77"/>
      <c r="L13" s="77"/>
      <c r="M13" s="77"/>
      <c r="N13" s="77"/>
    </row>
    <row r="14" spans="1:14" x14ac:dyDescent="0.25">
      <c r="A14" s="77"/>
      <c r="B14" s="77" t="s">
        <v>413</v>
      </c>
      <c r="C14" s="77">
        <v>348</v>
      </c>
      <c r="D14" s="77">
        <v>340</v>
      </c>
      <c r="E14" s="77">
        <v>359</v>
      </c>
      <c r="F14" s="77">
        <v>378</v>
      </c>
      <c r="G14" s="77">
        <v>397</v>
      </c>
      <c r="H14" s="77">
        <v>417</v>
      </c>
      <c r="I14" s="77">
        <v>436</v>
      </c>
      <c r="J14" s="77">
        <v>456</v>
      </c>
      <c r="K14" s="77"/>
      <c r="L14" s="77"/>
      <c r="M14" s="77"/>
      <c r="N14" s="77"/>
    </row>
    <row r="15" spans="1:14" x14ac:dyDescent="0.25">
      <c r="A15" s="77">
        <v>950</v>
      </c>
      <c r="B15" s="77" t="s">
        <v>414</v>
      </c>
      <c r="C15" s="77">
        <v>331</v>
      </c>
      <c r="D15" s="77">
        <v>322</v>
      </c>
      <c r="E15" s="77">
        <v>340</v>
      </c>
      <c r="F15" s="77">
        <v>358</v>
      </c>
      <c r="G15" s="77">
        <v>376</v>
      </c>
      <c r="H15" s="77">
        <v>394</v>
      </c>
      <c r="I15" s="77">
        <v>412</v>
      </c>
      <c r="J15" s="77">
        <v>430</v>
      </c>
      <c r="K15" s="77">
        <v>448</v>
      </c>
      <c r="L15" s="77"/>
      <c r="M15" s="77"/>
      <c r="N15" s="77"/>
    </row>
    <row r="16" spans="1:14" x14ac:dyDescent="0.25">
      <c r="A16" s="77"/>
      <c r="B16" s="77" t="s">
        <v>412</v>
      </c>
      <c r="C16" s="77">
        <v>343</v>
      </c>
      <c r="D16" s="77">
        <v>335</v>
      </c>
      <c r="E16" s="77">
        <v>353</v>
      </c>
      <c r="F16" s="77">
        <v>372</v>
      </c>
      <c r="G16" s="77">
        <v>391</v>
      </c>
      <c r="H16" s="77">
        <v>409</v>
      </c>
      <c r="I16" s="77">
        <v>428</v>
      </c>
      <c r="J16" s="77">
        <v>446</v>
      </c>
      <c r="K16" s="77">
        <v>465</v>
      </c>
      <c r="L16" s="77"/>
      <c r="M16" s="77"/>
      <c r="N16" s="77"/>
    </row>
    <row r="17" spans="1:14" x14ac:dyDescent="0.25">
      <c r="A17" s="77"/>
      <c r="B17" s="77" t="s">
        <v>413</v>
      </c>
      <c r="C17" s="77">
        <v>361</v>
      </c>
      <c r="D17" s="77">
        <v>355</v>
      </c>
      <c r="E17" s="77">
        <v>375</v>
      </c>
      <c r="F17" s="77">
        <v>395</v>
      </c>
      <c r="G17" s="77">
        <v>415</v>
      </c>
      <c r="H17" s="77">
        <v>435</v>
      </c>
      <c r="I17" s="77">
        <v>455</v>
      </c>
      <c r="J17" s="77">
        <v>475</v>
      </c>
      <c r="K17" s="77">
        <v>495</v>
      </c>
      <c r="L17" s="77"/>
      <c r="M17" s="77"/>
      <c r="N17" s="77"/>
    </row>
    <row r="18" spans="1:14" x14ac:dyDescent="0.25">
      <c r="A18" s="77">
        <v>1050</v>
      </c>
      <c r="B18" s="77" t="s">
        <v>414</v>
      </c>
      <c r="C18" s="77">
        <v>342</v>
      </c>
      <c r="D18" s="77">
        <v>336</v>
      </c>
      <c r="E18" s="77">
        <v>355</v>
      </c>
      <c r="F18" s="77">
        <v>373</v>
      </c>
      <c r="G18" s="77">
        <v>392</v>
      </c>
      <c r="H18" s="77">
        <v>410</v>
      </c>
      <c r="I18" s="77">
        <v>429</v>
      </c>
      <c r="J18" s="77">
        <v>448</v>
      </c>
      <c r="K18" s="77">
        <v>466</v>
      </c>
      <c r="L18" s="77">
        <v>485</v>
      </c>
      <c r="M18" s="77">
        <v>503</v>
      </c>
      <c r="N18" s="77"/>
    </row>
    <row r="19" spans="1:14" x14ac:dyDescent="0.25">
      <c r="A19" s="77"/>
      <c r="B19" s="77" t="s">
        <v>412</v>
      </c>
      <c r="C19" s="77">
        <v>355</v>
      </c>
      <c r="D19" s="77">
        <v>350</v>
      </c>
      <c r="E19" s="77">
        <v>369</v>
      </c>
      <c r="F19" s="77">
        <v>388</v>
      </c>
      <c r="G19" s="77">
        <v>407</v>
      </c>
      <c r="H19" s="77">
        <v>426</v>
      </c>
      <c r="I19" s="77">
        <v>445</v>
      </c>
      <c r="J19" s="77">
        <v>464</v>
      </c>
      <c r="K19" s="77">
        <v>483</v>
      </c>
      <c r="L19" s="77">
        <v>503</v>
      </c>
      <c r="M19" s="77">
        <v>522</v>
      </c>
      <c r="N19" s="77"/>
    </row>
    <row r="20" spans="1:14" x14ac:dyDescent="0.25">
      <c r="A20" s="77"/>
      <c r="B20" s="77" t="s">
        <v>413</v>
      </c>
      <c r="C20" s="77">
        <v>375</v>
      </c>
      <c r="D20" s="77">
        <v>371</v>
      </c>
      <c r="E20" s="77">
        <v>391</v>
      </c>
      <c r="F20" s="77">
        <v>412</v>
      </c>
      <c r="G20" s="77">
        <v>432</v>
      </c>
      <c r="H20" s="77">
        <v>453</v>
      </c>
      <c r="I20" s="77">
        <v>473</v>
      </c>
      <c r="J20" s="77">
        <v>494</v>
      </c>
      <c r="K20" s="77">
        <v>515</v>
      </c>
      <c r="L20" s="77">
        <v>535</v>
      </c>
      <c r="M20" s="77">
        <v>556</v>
      </c>
      <c r="N20" s="77"/>
    </row>
    <row r="21" spans="1:14" x14ac:dyDescent="0.25">
      <c r="A21" s="77">
        <v>1150</v>
      </c>
      <c r="B21" s="77" t="s">
        <v>414</v>
      </c>
      <c r="C21" s="77">
        <v>354</v>
      </c>
      <c r="D21" s="77">
        <v>350</v>
      </c>
      <c r="E21" s="77">
        <v>369</v>
      </c>
      <c r="F21" s="77">
        <v>388</v>
      </c>
      <c r="G21" s="77">
        <v>407</v>
      </c>
      <c r="H21" s="77">
        <v>426</v>
      </c>
      <c r="I21" s="77">
        <v>446</v>
      </c>
      <c r="J21" s="77">
        <v>465</v>
      </c>
      <c r="K21" s="77">
        <v>484</v>
      </c>
      <c r="L21" s="77">
        <v>503</v>
      </c>
      <c r="M21" s="77">
        <v>522</v>
      </c>
      <c r="N21" s="77">
        <v>541</v>
      </c>
    </row>
    <row r="22" spans="1:14" x14ac:dyDescent="0.25">
      <c r="A22" s="77"/>
      <c r="B22" s="77" t="s">
        <v>412</v>
      </c>
      <c r="C22" s="77">
        <v>368</v>
      </c>
      <c r="D22" s="77">
        <v>364</v>
      </c>
      <c r="E22" s="77">
        <v>384</v>
      </c>
      <c r="F22" s="77">
        <v>404</v>
      </c>
      <c r="G22" s="77">
        <v>423</v>
      </c>
      <c r="H22" s="77">
        <v>443</v>
      </c>
      <c r="I22" s="77">
        <v>463</v>
      </c>
      <c r="J22" s="77">
        <v>482</v>
      </c>
      <c r="K22" s="77">
        <v>502</v>
      </c>
      <c r="L22" s="77">
        <v>522</v>
      </c>
      <c r="M22" s="77">
        <v>542</v>
      </c>
      <c r="N22" s="77">
        <v>561</v>
      </c>
    </row>
    <row r="23" spans="1:14" x14ac:dyDescent="0.25">
      <c r="A23" s="77"/>
      <c r="B23" s="77" t="s">
        <v>413</v>
      </c>
      <c r="C23" s="77">
        <v>389</v>
      </c>
      <c r="D23" s="77">
        <v>386</v>
      </c>
      <c r="E23" s="77">
        <v>407</v>
      </c>
      <c r="F23" s="77">
        <v>429</v>
      </c>
      <c r="G23" s="77">
        <v>450</v>
      </c>
      <c r="H23" s="77">
        <v>471</v>
      </c>
      <c r="I23" s="77">
        <v>492</v>
      </c>
      <c r="J23" s="77">
        <v>513</v>
      </c>
      <c r="K23" s="77">
        <v>534</v>
      </c>
      <c r="L23" s="77">
        <v>556</v>
      </c>
      <c r="M23" s="77">
        <v>577</v>
      </c>
      <c r="N23" s="77">
        <v>598</v>
      </c>
    </row>
    <row r="24" spans="1:14" x14ac:dyDescent="0.25">
      <c r="A24" s="77">
        <v>1250</v>
      </c>
      <c r="B24" s="77" t="s">
        <v>414</v>
      </c>
      <c r="C24" s="77">
        <v>367</v>
      </c>
      <c r="D24" s="77">
        <v>363</v>
      </c>
      <c r="E24" s="77">
        <v>383</v>
      </c>
      <c r="F24" s="77">
        <v>403</v>
      </c>
      <c r="G24" s="77">
        <v>423</v>
      </c>
      <c r="H24" s="77">
        <v>442</v>
      </c>
      <c r="I24" s="77">
        <v>462</v>
      </c>
      <c r="J24" s="77">
        <v>482</v>
      </c>
      <c r="K24" s="77">
        <v>502</v>
      </c>
      <c r="L24" s="77">
        <v>521</v>
      </c>
      <c r="M24" s="77">
        <v>541</v>
      </c>
      <c r="N24" s="77">
        <v>561</v>
      </c>
    </row>
    <row r="25" spans="1:14" x14ac:dyDescent="0.25">
      <c r="A25" s="77"/>
      <c r="B25" s="77" t="s">
        <v>412</v>
      </c>
      <c r="C25" s="77">
        <v>382</v>
      </c>
      <c r="D25" s="77">
        <v>379</v>
      </c>
      <c r="E25" s="77">
        <v>399</v>
      </c>
      <c r="F25" s="77">
        <v>419</v>
      </c>
      <c r="G25" s="77">
        <v>440</v>
      </c>
      <c r="H25" s="77">
        <v>460</v>
      </c>
      <c r="I25" s="77">
        <v>480</v>
      </c>
      <c r="J25" s="77">
        <v>501</v>
      </c>
      <c r="K25" s="77">
        <v>521</v>
      </c>
      <c r="L25" s="77">
        <v>541</v>
      </c>
      <c r="M25" s="77">
        <v>562</v>
      </c>
      <c r="N25" s="77">
        <v>582</v>
      </c>
    </row>
    <row r="26" spans="1:14" x14ac:dyDescent="0.25">
      <c r="A26" s="77"/>
      <c r="B26" s="77" t="s">
        <v>413</v>
      </c>
      <c r="C26" s="77">
        <v>404</v>
      </c>
      <c r="D26" s="77">
        <v>402</v>
      </c>
      <c r="E26" s="77">
        <v>424</v>
      </c>
      <c r="F26" s="77">
        <v>445</v>
      </c>
      <c r="G26" s="77">
        <v>467</v>
      </c>
      <c r="H26" s="77">
        <v>489</v>
      </c>
      <c r="I26" s="77">
        <v>511</v>
      </c>
      <c r="J26" s="77">
        <v>532</v>
      </c>
      <c r="K26" s="77">
        <v>554</v>
      </c>
      <c r="L26" s="77">
        <v>576</v>
      </c>
      <c r="M26" s="77">
        <v>598</v>
      </c>
      <c r="N26" s="77">
        <v>620</v>
      </c>
    </row>
    <row r="27" spans="1:14" x14ac:dyDescent="0.25">
      <c r="A27" s="77">
        <v>1350</v>
      </c>
      <c r="B27" s="77" t="s">
        <v>414</v>
      </c>
      <c r="C27" s="77">
        <v>380</v>
      </c>
      <c r="D27" s="77">
        <v>377</v>
      </c>
      <c r="E27" s="77">
        <v>397</v>
      </c>
      <c r="F27" s="77">
        <v>418</v>
      </c>
      <c r="G27" s="77">
        <v>438</v>
      </c>
      <c r="H27" s="77">
        <v>458</v>
      </c>
      <c r="I27" s="77">
        <v>479</v>
      </c>
      <c r="J27" s="77">
        <v>499</v>
      </c>
      <c r="K27" s="77">
        <v>519</v>
      </c>
      <c r="L27" s="77">
        <v>540</v>
      </c>
      <c r="M27" s="77">
        <v>560</v>
      </c>
      <c r="N27" s="77">
        <v>580</v>
      </c>
    </row>
    <row r="28" spans="1:14" x14ac:dyDescent="0.25">
      <c r="A28" s="77"/>
      <c r="B28" s="77" t="s">
        <v>412</v>
      </c>
      <c r="C28" s="77">
        <v>396</v>
      </c>
      <c r="D28" s="77">
        <v>393</v>
      </c>
      <c r="E28" s="77">
        <v>414</v>
      </c>
      <c r="F28" s="77">
        <v>435</v>
      </c>
      <c r="G28" s="77">
        <v>456</v>
      </c>
      <c r="H28" s="77">
        <v>477</v>
      </c>
      <c r="I28" s="77">
        <v>498</v>
      </c>
      <c r="J28" s="77">
        <v>519</v>
      </c>
      <c r="K28" s="77">
        <v>540</v>
      </c>
      <c r="L28" s="77">
        <v>561</v>
      </c>
      <c r="M28" s="77">
        <v>581</v>
      </c>
      <c r="N28" s="77">
        <v>602</v>
      </c>
    </row>
    <row r="29" spans="1:14" x14ac:dyDescent="0.25">
      <c r="A29" s="77"/>
      <c r="B29" s="77" t="s">
        <v>413</v>
      </c>
      <c r="C29" s="77">
        <v>419</v>
      </c>
      <c r="D29" s="77">
        <v>417</v>
      </c>
      <c r="E29" s="77">
        <v>440</v>
      </c>
      <c r="F29" s="77">
        <v>462</v>
      </c>
      <c r="G29" s="77">
        <v>485</v>
      </c>
      <c r="H29" s="77">
        <v>507</v>
      </c>
      <c r="I29" s="77">
        <v>529</v>
      </c>
      <c r="J29" s="77">
        <v>552</v>
      </c>
      <c r="K29" s="77">
        <v>574</v>
      </c>
      <c r="L29" s="77">
        <v>596</v>
      </c>
      <c r="M29" s="77">
        <v>619</v>
      </c>
      <c r="N29" s="77">
        <v>641</v>
      </c>
    </row>
    <row r="30" spans="1:14" x14ac:dyDescent="0.25">
      <c r="A30" s="77">
        <v>1450</v>
      </c>
      <c r="B30" s="77" t="s">
        <v>414</v>
      </c>
      <c r="C30" s="77">
        <v>393</v>
      </c>
      <c r="D30" s="77">
        <v>390</v>
      </c>
      <c r="E30" s="77">
        <v>411</v>
      </c>
      <c r="F30" s="77">
        <v>432</v>
      </c>
      <c r="G30" s="77">
        <v>453</v>
      </c>
      <c r="H30" s="77">
        <v>474</v>
      </c>
      <c r="I30" s="77">
        <v>495</v>
      </c>
      <c r="J30" s="77">
        <v>516</v>
      </c>
      <c r="K30" s="77">
        <v>537</v>
      </c>
      <c r="L30" s="77">
        <v>558</v>
      </c>
      <c r="M30" s="77">
        <v>579</v>
      </c>
      <c r="N30" s="77">
        <v>600</v>
      </c>
    </row>
    <row r="31" spans="1:14" x14ac:dyDescent="0.25">
      <c r="A31" s="77"/>
      <c r="B31" s="77" t="s">
        <v>412</v>
      </c>
      <c r="C31" s="77">
        <v>410</v>
      </c>
      <c r="D31" s="77">
        <v>408</v>
      </c>
      <c r="E31" s="77">
        <v>430</v>
      </c>
      <c r="F31" s="77">
        <v>451</v>
      </c>
      <c r="G31" s="77">
        <v>472</v>
      </c>
      <c r="H31" s="77">
        <v>494</v>
      </c>
      <c r="I31" s="77">
        <v>515</v>
      </c>
      <c r="J31" s="77">
        <v>537</v>
      </c>
      <c r="K31" s="77">
        <v>558</v>
      </c>
      <c r="L31" s="77">
        <v>580</v>
      </c>
      <c r="M31" s="77">
        <v>601</v>
      </c>
      <c r="N31" s="77">
        <v>623</v>
      </c>
    </row>
    <row r="32" spans="1:14" x14ac:dyDescent="0.25">
      <c r="A32" s="77"/>
      <c r="B32" s="77" t="s">
        <v>413</v>
      </c>
      <c r="C32" s="77">
        <v>434</v>
      </c>
      <c r="D32" s="77">
        <v>433</v>
      </c>
      <c r="E32" s="77">
        <v>456</v>
      </c>
      <c r="F32" s="77">
        <v>479</v>
      </c>
      <c r="G32" s="77">
        <v>502</v>
      </c>
      <c r="H32" s="77">
        <v>525</v>
      </c>
      <c r="I32" s="77">
        <v>548</v>
      </c>
      <c r="J32" s="77">
        <v>571</v>
      </c>
      <c r="K32" s="77">
        <v>594</v>
      </c>
      <c r="L32" s="77">
        <v>617</v>
      </c>
      <c r="M32" s="77">
        <v>640</v>
      </c>
      <c r="N32" s="77">
        <v>663</v>
      </c>
    </row>
    <row r="33" spans="1:14" x14ac:dyDescent="0.25">
      <c r="A33" s="77">
        <v>1550</v>
      </c>
      <c r="B33" s="77" t="s">
        <v>414</v>
      </c>
      <c r="C33" s="77">
        <v>406</v>
      </c>
      <c r="D33" s="77">
        <v>404</v>
      </c>
      <c r="E33" s="77">
        <v>426</v>
      </c>
      <c r="F33" s="77">
        <v>447</v>
      </c>
      <c r="G33" s="77">
        <v>469</v>
      </c>
      <c r="H33" s="77">
        <v>490</v>
      </c>
      <c r="I33" s="77">
        <v>512</v>
      </c>
      <c r="J33" s="77">
        <v>533</v>
      </c>
      <c r="K33" s="77">
        <v>555</v>
      </c>
      <c r="L33" s="77">
        <v>576</v>
      </c>
      <c r="M33" s="77">
        <v>598</v>
      </c>
      <c r="N33" s="77">
        <v>619</v>
      </c>
    </row>
    <row r="34" spans="1:14" x14ac:dyDescent="0.25">
      <c r="A34" s="77"/>
      <c r="B34" s="77" t="s">
        <v>412</v>
      </c>
      <c r="C34" s="77">
        <v>424</v>
      </c>
      <c r="D34" s="77">
        <v>423</v>
      </c>
      <c r="E34" s="77">
        <v>445</v>
      </c>
      <c r="F34" s="77">
        <v>467</v>
      </c>
      <c r="G34" s="77">
        <v>489</v>
      </c>
      <c r="H34" s="77">
        <v>511</v>
      </c>
      <c r="I34" s="77">
        <v>533</v>
      </c>
      <c r="J34" s="77">
        <v>555</v>
      </c>
      <c r="K34" s="77">
        <v>577</v>
      </c>
      <c r="L34" s="77">
        <v>599</v>
      </c>
      <c r="M34" s="77">
        <v>621</v>
      </c>
      <c r="N34" s="77">
        <v>643</v>
      </c>
    </row>
    <row r="35" spans="1:14" x14ac:dyDescent="0.25">
      <c r="A35" s="77"/>
      <c r="B35" s="77" t="s">
        <v>413</v>
      </c>
      <c r="C35" s="77">
        <v>449</v>
      </c>
      <c r="D35" s="77">
        <v>449</v>
      </c>
      <c r="E35" s="77">
        <v>472</v>
      </c>
      <c r="F35" s="77">
        <v>496</v>
      </c>
      <c r="G35" s="77">
        <v>519</v>
      </c>
      <c r="H35" s="77">
        <v>543</v>
      </c>
      <c r="I35" s="77">
        <v>567</v>
      </c>
      <c r="J35" s="77">
        <v>590</v>
      </c>
      <c r="K35" s="77">
        <v>614</v>
      </c>
      <c r="L35" s="77">
        <v>637</v>
      </c>
      <c r="M35" s="77">
        <v>661</v>
      </c>
      <c r="N35" s="77">
        <v>684</v>
      </c>
    </row>
    <row r="36" spans="1:14" x14ac:dyDescent="0.25">
      <c r="A36" s="77">
        <v>1551</v>
      </c>
      <c r="B36" s="77" t="s">
        <v>414</v>
      </c>
      <c r="C36" s="77">
        <v>418</v>
      </c>
      <c r="D36" s="77"/>
      <c r="E36" s="77"/>
      <c r="F36" s="77"/>
      <c r="G36" s="77"/>
      <c r="H36" s="77"/>
      <c r="I36" s="77"/>
      <c r="J36" s="77"/>
      <c r="K36" s="77"/>
      <c r="L36" s="77"/>
      <c r="M36" s="77">
        <v>612</v>
      </c>
      <c r="N36" s="77"/>
    </row>
    <row r="37" spans="1:14" x14ac:dyDescent="0.25">
      <c r="A37" s="77"/>
      <c r="B37" s="77" t="s">
        <v>412</v>
      </c>
      <c r="C37" s="77">
        <v>436</v>
      </c>
      <c r="D37" s="77"/>
      <c r="E37" s="77"/>
      <c r="F37" s="77"/>
      <c r="G37" s="77"/>
      <c r="H37" s="77"/>
      <c r="I37" s="77"/>
      <c r="J37" s="77"/>
      <c r="K37" s="77"/>
      <c r="L37" s="77"/>
      <c r="M37" s="77">
        <v>635</v>
      </c>
      <c r="N37" s="77"/>
    </row>
    <row r="38" spans="1:14" x14ac:dyDescent="0.25">
      <c r="A38" s="77"/>
      <c r="B38" s="77" t="s">
        <v>413</v>
      </c>
      <c r="C38" s="77">
        <v>461</v>
      </c>
      <c r="D38" s="77"/>
      <c r="E38" s="77"/>
      <c r="F38" s="77"/>
      <c r="G38" s="77"/>
      <c r="H38" s="77"/>
      <c r="I38" s="77"/>
      <c r="J38" s="77"/>
      <c r="K38" s="77"/>
      <c r="L38" s="77"/>
      <c r="M38" s="77">
        <v>675</v>
      </c>
      <c r="N38" s="77"/>
    </row>
    <row r="39" spans="1:14" x14ac:dyDescent="0.25">
      <c r="A39" s="77">
        <v>1650</v>
      </c>
      <c r="B39" s="77" t="s">
        <v>414</v>
      </c>
      <c r="C39" s="77">
        <v>431</v>
      </c>
      <c r="D39" s="77"/>
      <c r="E39" s="77"/>
      <c r="F39" s="77"/>
      <c r="G39" s="77"/>
      <c r="H39" s="77"/>
      <c r="I39" s="77"/>
      <c r="J39" s="77"/>
      <c r="K39" s="77"/>
      <c r="L39" s="77"/>
      <c r="M39" s="77">
        <v>630</v>
      </c>
      <c r="N39" s="77"/>
    </row>
    <row r="40" spans="1:14" x14ac:dyDescent="0.25">
      <c r="A40" s="77"/>
      <c r="B40" s="77" t="s">
        <v>412</v>
      </c>
      <c r="C40" s="77">
        <v>450</v>
      </c>
      <c r="D40" s="77"/>
      <c r="E40" s="77"/>
      <c r="F40" s="77"/>
      <c r="G40" s="77"/>
      <c r="H40" s="77"/>
      <c r="I40" s="77"/>
      <c r="J40" s="77"/>
      <c r="K40" s="77"/>
      <c r="L40" s="77"/>
      <c r="M40" s="77">
        <v>655</v>
      </c>
      <c r="N40" s="77"/>
    </row>
    <row r="41" spans="1:14" x14ac:dyDescent="0.25">
      <c r="A41" s="77"/>
      <c r="B41" s="77" t="s">
        <v>413</v>
      </c>
      <c r="C41" s="77">
        <v>476</v>
      </c>
      <c r="D41" s="77"/>
      <c r="E41" s="77"/>
      <c r="F41" s="77"/>
      <c r="G41" s="77"/>
      <c r="H41" s="77"/>
      <c r="I41" s="77"/>
      <c r="J41" s="77"/>
      <c r="K41" s="77"/>
      <c r="L41" s="77"/>
      <c r="M41" s="77">
        <v>696</v>
      </c>
      <c r="N41" s="77"/>
    </row>
    <row r="42" spans="1:14" x14ac:dyDescent="0.25">
      <c r="A42" s="77">
        <v>1750</v>
      </c>
      <c r="B42" s="77" t="s">
        <v>414</v>
      </c>
      <c r="C42" s="77">
        <v>444</v>
      </c>
      <c r="D42" s="77"/>
      <c r="E42" s="77"/>
      <c r="F42" s="77"/>
      <c r="G42" s="77"/>
      <c r="H42" s="77"/>
      <c r="I42" s="77"/>
      <c r="J42" s="77"/>
      <c r="K42" s="77"/>
      <c r="L42" s="77"/>
      <c r="M42" s="77">
        <v>649</v>
      </c>
      <c r="N42" s="77"/>
    </row>
    <row r="43" spans="1:14" x14ac:dyDescent="0.25">
      <c r="A43" s="77"/>
      <c r="B43" s="77" t="s">
        <v>412</v>
      </c>
      <c r="C43" s="77">
        <v>464</v>
      </c>
      <c r="D43" s="77"/>
      <c r="E43" s="77"/>
      <c r="F43" s="77"/>
      <c r="G43" s="77"/>
      <c r="H43" s="77"/>
      <c r="I43" s="77"/>
      <c r="J43" s="77"/>
      <c r="K43" s="77"/>
      <c r="L43" s="77"/>
      <c r="M43" s="77">
        <v>675</v>
      </c>
      <c r="N43" s="77"/>
    </row>
    <row r="44" spans="1:14" x14ac:dyDescent="0.25">
      <c r="A44" s="77"/>
      <c r="B44" s="77" t="s">
        <v>413</v>
      </c>
      <c r="C44" s="77">
        <v>491</v>
      </c>
      <c r="D44" s="77"/>
      <c r="E44" s="77"/>
      <c r="F44" s="77"/>
      <c r="G44" s="77"/>
      <c r="H44" s="77"/>
      <c r="I44" s="77"/>
      <c r="J44" s="77"/>
      <c r="K44" s="77"/>
      <c r="L44" s="77"/>
      <c r="M44" s="77">
        <v>717</v>
      </c>
      <c r="N44" s="77"/>
    </row>
    <row r="45" spans="1:14" x14ac:dyDescent="0.25">
      <c r="A45" s="77">
        <v>1850</v>
      </c>
      <c r="B45" s="77" t="s">
        <v>414</v>
      </c>
      <c r="C45" s="77">
        <v>457</v>
      </c>
      <c r="D45" s="77"/>
      <c r="E45" s="77"/>
      <c r="F45" s="77"/>
      <c r="G45" s="77"/>
      <c r="H45" s="77"/>
      <c r="I45" s="77"/>
      <c r="J45" s="77"/>
      <c r="K45" s="77"/>
      <c r="L45" s="77"/>
      <c r="M45" s="77">
        <v>668</v>
      </c>
      <c r="N45" s="77"/>
    </row>
    <row r="46" spans="1:14" x14ac:dyDescent="0.25">
      <c r="A46" s="77"/>
      <c r="B46" s="77" t="s">
        <v>412</v>
      </c>
      <c r="C46" s="77">
        <v>478</v>
      </c>
      <c r="D46" s="77"/>
      <c r="E46" s="77"/>
      <c r="F46" s="77"/>
      <c r="G46" s="77"/>
      <c r="H46" s="77"/>
      <c r="I46" s="77"/>
      <c r="J46" s="77"/>
      <c r="K46" s="77"/>
      <c r="L46" s="77"/>
      <c r="M46" s="77">
        <v>695</v>
      </c>
      <c r="N46" s="77"/>
    </row>
    <row r="47" spans="1:14" x14ac:dyDescent="0.25">
      <c r="A47" s="77"/>
      <c r="B47" s="77" t="s">
        <v>413</v>
      </c>
      <c r="C47" s="77">
        <v>506</v>
      </c>
      <c r="D47" s="77"/>
      <c r="E47" s="77"/>
      <c r="F47" s="77"/>
      <c r="G47" s="77"/>
      <c r="H47" s="77"/>
      <c r="I47" s="77"/>
      <c r="J47" s="77"/>
      <c r="K47" s="77"/>
      <c r="L47" s="77"/>
      <c r="M47" s="77">
        <v>738</v>
      </c>
      <c r="N47" s="77"/>
    </row>
    <row r="48" spans="1:14" x14ac:dyDescent="0.25">
      <c r="A48" s="77">
        <v>1950</v>
      </c>
      <c r="B48" s="77" t="s">
        <v>414</v>
      </c>
      <c r="C48" s="77">
        <v>470</v>
      </c>
      <c r="D48" s="77"/>
      <c r="E48" s="77"/>
      <c r="F48" s="77"/>
      <c r="G48" s="77"/>
      <c r="H48" s="77"/>
      <c r="I48" s="77"/>
      <c r="J48" s="77"/>
      <c r="K48" s="77"/>
      <c r="L48" s="77">
        <v>663</v>
      </c>
      <c r="M48" s="77"/>
      <c r="N48" s="77"/>
    </row>
    <row r="49" spans="1:14" x14ac:dyDescent="0.25">
      <c r="A49" s="77"/>
      <c r="B49" s="77" t="s">
        <v>412</v>
      </c>
      <c r="C49" s="77">
        <v>492</v>
      </c>
      <c r="D49" s="77"/>
      <c r="E49" s="77"/>
      <c r="F49" s="77"/>
      <c r="G49" s="77"/>
      <c r="H49" s="77"/>
      <c r="I49" s="77"/>
      <c r="J49" s="77"/>
      <c r="K49" s="77"/>
      <c r="L49" s="77">
        <v>690</v>
      </c>
      <c r="M49" s="77"/>
      <c r="N49" s="77"/>
    </row>
    <row r="50" spans="1:14" x14ac:dyDescent="0.25">
      <c r="A50" s="77"/>
      <c r="B50" s="77" t="s">
        <v>413</v>
      </c>
      <c r="C50" s="77">
        <v>521</v>
      </c>
      <c r="D50" s="77"/>
      <c r="E50" s="77"/>
      <c r="F50" s="77"/>
      <c r="G50" s="77"/>
      <c r="H50" s="77"/>
      <c r="I50" s="77"/>
      <c r="J50" s="77"/>
      <c r="K50" s="77"/>
      <c r="L50" s="77">
        <v>732</v>
      </c>
      <c r="M50" s="77"/>
      <c r="N50" s="77"/>
    </row>
    <row r="51" spans="1:14" x14ac:dyDescent="0.25">
      <c r="A51" s="77">
        <v>2050</v>
      </c>
      <c r="B51" s="77" t="s">
        <v>414</v>
      </c>
      <c r="C51" s="77">
        <v>483</v>
      </c>
      <c r="D51" s="77"/>
      <c r="E51" s="77"/>
      <c r="F51" s="77"/>
      <c r="G51" s="77"/>
      <c r="H51" s="77"/>
      <c r="I51" s="77"/>
      <c r="J51" s="77"/>
      <c r="K51" s="77"/>
      <c r="L51" s="77">
        <v>681</v>
      </c>
      <c r="M51" s="77"/>
      <c r="N51" s="77"/>
    </row>
    <row r="52" spans="1:14" x14ac:dyDescent="0.25">
      <c r="A52" s="77"/>
      <c r="B52" s="77" t="s">
        <v>412</v>
      </c>
      <c r="C52" s="77">
        <v>506</v>
      </c>
      <c r="D52" s="77"/>
      <c r="E52" s="77"/>
      <c r="F52" s="77"/>
      <c r="G52" s="77"/>
      <c r="H52" s="77"/>
      <c r="I52" s="77"/>
      <c r="J52" s="77"/>
      <c r="K52" s="77"/>
      <c r="L52" s="77">
        <v>709</v>
      </c>
      <c r="M52" s="77"/>
      <c r="N52" s="77"/>
    </row>
    <row r="53" spans="1:14" x14ac:dyDescent="0.25">
      <c r="A53" s="77"/>
      <c r="B53" s="77" t="s">
        <v>413</v>
      </c>
      <c r="C53" s="77">
        <v>536</v>
      </c>
      <c r="D53" s="77"/>
      <c r="E53" s="77"/>
      <c r="F53" s="77"/>
      <c r="G53" s="77"/>
      <c r="H53" s="77"/>
      <c r="I53" s="77"/>
      <c r="J53" s="77"/>
      <c r="K53" s="77"/>
      <c r="L53" s="77">
        <v>753</v>
      </c>
      <c r="M53" s="77"/>
      <c r="N53" s="77"/>
    </row>
    <row r="54" spans="1:14" x14ac:dyDescent="0.25">
      <c r="A54" s="77">
        <v>2150</v>
      </c>
      <c r="B54" s="77" t="s">
        <v>414</v>
      </c>
      <c r="C54" s="77"/>
      <c r="D54" s="77">
        <v>497</v>
      </c>
      <c r="E54" s="77"/>
      <c r="F54" s="77"/>
      <c r="G54" s="77"/>
      <c r="H54" s="77"/>
      <c r="I54" s="77"/>
      <c r="J54" s="77"/>
      <c r="K54" s="77">
        <v>674</v>
      </c>
      <c r="L54" s="77"/>
      <c r="M54" s="77"/>
      <c r="N54" s="77"/>
    </row>
    <row r="55" spans="1:14" x14ac:dyDescent="0.25">
      <c r="A55" s="77"/>
      <c r="B55" s="77" t="s">
        <v>412</v>
      </c>
      <c r="C55" s="77"/>
      <c r="D55" s="77">
        <v>522</v>
      </c>
      <c r="E55" s="77"/>
      <c r="F55" s="77"/>
      <c r="G55" s="77"/>
      <c r="H55" s="77"/>
      <c r="I55" s="77"/>
      <c r="J55" s="77"/>
      <c r="K55" s="77">
        <v>703</v>
      </c>
      <c r="L55" s="77"/>
      <c r="M55" s="77"/>
      <c r="N55" s="77"/>
    </row>
    <row r="56" spans="1:14" x14ac:dyDescent="0.25">
      <c r="A56" s="77"/>
      <c r="B56" s="77" t="s">
        <v>413</v>
      </c>
      <c r="C56" s="77"/>
      <c r="D56" s="77">
        <v>554</v>
      </c>
      <c r="E56" s="77"/>
      <c r="F56" s="77"/>
      <c r="G56" s="77"/>
      <c r="H56" s="77"/>
      <c r="I56" s="77"/>
      <c r="J56" s="77"/>
      <c r="K56" s="77">
        <v>746</v>
      </c>
      <c r="L56" s="77"/>
      <c r="M56" s="77"/>
      <c r="N56" s="77"/>
    </row>
    <row r="57" spans="1:14" x14ac:dyDescent="0.25">
      <c r="A57" s="77">
        <v>2250</v>
      </c>
      <c r="B57" s="77" t="s">
        <v>414</v>
      </c>
      <c r="C57" s="77"/>
      <c r="D57" s="77">
        <v>511</v>
      </c>
      <c r="E57" s="77"/>
      <c r="F57" s="77"/>
      <c r="G57" s="77"/>
      <c r="H57" s="77"/>
      <c r="I57" s="77"/>
      <c r="J57" s="77"/>
      <c r="K57" s="77">
        <v>692</v>
      </c>
      <c r="L57" s="77"/>
      <c r="M57" s="77"/>
      <c r="N57" s="77"/>
    </row>
    <row r="58" spans="1:14" x14ac:dyDescent="0.25">
      <c r="A58" s="77"/>
      <c r="B58" s="77" t="s">
        <v>412</v>
      </c>
      <c r="C58" s="77"/>
      <c r="D58" s="77">
        <v>537</v>
      </c>
      <c r="E58" s="77"/>
      <c r="F58" s="77"/>
      <c r="G58" s="77"/>
      <c r="H58" s="77"/>
      <c r="I58" s="77"/>
      <c r="J58" s="77"/>
      <c r="K58" s="77">
        <v>722</v>
      </c>
      <c r="L58" s="77"/>
      <c r="M58" s="77"/>
      <c r="N58" s="77"/>
    </row>
    <row r="59" spans="1:14" x14ac:dyDescent="0.25">
      <c r="A59" s="77"/>
      <c r="B59" s="77" t="s">
        <v>413</v>
      </c>
      <c r="C59" s="77"/>
      <c r="D59" s="77">
        <v>570</v>
      </c>
      <c r="E59" s="77"/>
      <c r="F59" s="77"/>
      <c r="G59" s="77"/>
      <c r="H59" s="77"/>
      <c r="I59" s="77"/>
      <c r="J59" s="77"/>
      <c r="K59" s="77">
        <v>766</v>
      </c>
      <c r="L59" s="77"/>
      <c r="M59" s="77"/>
      <c r="N59" s="77"/>
    </row>
    <row r="60" spans="1:14" x14ac:dyDescent="0.25">
      <c r="A60" s="77">
        <v>2350</v>
      </c>
      <c r="B60" s="77" t="s">
        <v>414</v>
      </c>
      <c r="C60" s="77"/>
      <c r="D60" s="77">
        <v>524</v>
      </c>
      <c r="E60" s="77">
        <v>551</v>
      </c>
      <c r="F60" s="77">
        <v>577</v>
      </c>
      <c r="G60" s="77">
        <v>604</v>
      </c>
      <c r="H60" s="77">
        <v>630</v>
      </c>
      <c r="I60" s="77">
        <v>657</v>
      </c>
      <c r="J60" s="77">
        <v>683</v>
      </c>
      <c r="K60" s="77"/>
      <c r="L60" s="77"/>
      <c r="M60" s="77"/>
      <c r="N60" s="77"/>
    </row>
    <row r="61" spans="1:14" x14ac:dyDescent="0.25">
      <c r="A61" s="77"/>
      <c r="B61" s="77" t="s">
        <v>412</v>
      </c>
      <c r="C61" s="77"/>
      <c r="D61" s="77">
        <v>551</v>
      </c>
      <c r="E61" s="77">
        <v>578</v>
      </c>
      <c r="F61" s="77">
        <v>605</v>
      </c>
      <c r="G61" s="77">
        <v>632</v>
      </c>
      <c r="H61" s="77">
        <v>659</v>
      </c>
      <c r="I61" s="77">
        <v>686</v>
      </c>
      <c r="J61" s="77">
        <v>713</v>
      </c>
      <c r="K61" s="77"/>
      <c r="L61" s="77"/>
      <c r="M61" s="77"/>
      <c r="N61" s="77"/>
    </row>
    <row r="62" spans="1:14" x14ac:dyDescent="0.25">
      <c r="A62" s="77"/>
      <c r="B62" s="77" t="s">
        <v>413</v>
      </c>
      <c r="C62" s="77"/>
      <c r="D62" s="77">
        <v>586</v>
      </c>
      <c r="E62" s="77">
        <v>614</v>
      </c>
      <c r="F62" s="77">
        <v>643</v>
      </c>
      <c r="G62" s="77">
        <v>671</v>
      </c>
      <c r="H62" s="77">
        <v>700</v>
      </c>
      <c r="I62" s="77">
        <v>728</v>
      </c>
      <c r="J62" s="77">
        <v>757</v>
      </c>
      <c r="K62" s="77"/>
      <c r="L62" s="77"/>
      <c r="M62" s="77"/>
      <c r="N62" s="77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P31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2" t="s">
        <v>64</v>
      </c>
      <c r="D10" s="102"/>
      <c r="E10" s="102"/>
      <c r="F10" s="102"/>
      <c r="G10" s="102"/>
      <c r="H10" s="102"/>
      <c r="I10" s="102"/>
      <c r="J10" s="102"/>
    </row>
    <row r="11" spans="1:16" ht="75" customHeight="1" x14ac:dyDescent="0.2">
      <c r="A11" s="21"/>
      <c r="B11" s="21"/>
      <c r="C11" s="103" t="s">
        <v>66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1.25" x14ac:dyDescent="0.2">
      <c r="A14" s="18" t="s">
        <v>69</v>
      </c>
      <c r="B14" s="19"/>
      <c r="C14" s="13">
        <v>1</v>
      </c>
      <c r="D14" s="14" t="s">
        <v>70</v>
      </c>
      <c r="E14" s="34"/>
      <c r="F14" s="15"/>
      <c r="G14" s="16"/>
      <c r="H14" s="20"/>
      <c r="I14" s="20" t="str">
        <f>IF(AND(RIGHT(Demolitions1[[#This Row],[INDEX]],3)&lt;&gt;"000",Demolitions1[[#This Row],[INDEX]]&lt;&gt;""),Demolitions1[[#This Row],[QUANTITE]]*Demolitions1[[#This Row],[P.U.]],"")</f>
        <v/>
      </c>
      <c r="J14" s="35" t="str">
        <f>IF(AND(RIGHT(Demolitions1[[#This Row],[INDEX]],3)&lt;&gt;"000",Demolitions1[[#This Row],[INDEX]]&lt;&gt;""),IF(Demolitions1[[#This Row],[PRESTA]]="F","1","1"),"")</f>
        <v/>
      </c>
    </row>
    <row r="15" spans="1:16" s="33" customFormat="1" ht="123.75" x14ac:dyDescent="0.2">
      <c r="A15" s="18" t="s">
        <v>71</v>
      </c>
      <c r="B15" s="19" t="s">
        <v>52</v>
      </c>
      <c r="C15" s="13" t="str">
        <f>C$14&amp;"."&amp;COUNTA(C$14:C14)</f>
        <v>1.1</v>
      </c>
      <c r="D15" s="17" t="s">
        <v>148</v>
      </c>
      <c r="E15" s="34"/>
      <c r="F15" s="15" t="s">
        <v>6</v>
      </c>
      <c r="G15" s="16"/>
      <c r="H15" s="20">
        <v>0</v>
      </c>
      <c r="I15" s="20">
        <f>IF(AND(RIGHT(Demolitions1[[#This Row],[INDEX]],3)&lt;&gt;"000",Demolitions1[[#This Row],[INDEX]]&lt;&gt;""),Demolitions1[[#This Row],[QUANTITE]]*Demolitions1[[#This Row],[P.U.]],"")</f>
        <v>0</v>
      </c>
      <c r="J15" s="35" t="str">
        <f>IF(AND(RIGHT(Demolitions1[[#This Row],[INDEX]],3)&lt;&gt;"000",Demolitions1[[#This Row],[INDEX]]&lt;&gt;""),IF(Demolitions1[[#This Row],[PRESTA]]="F","1","1"),"")</f>
        <v>1</v>
      </c>
    </row>
    <row r="16" spans="1:16" s="33" customFormat="1" ht="123.75" x14ac:dyDescent="0.2">
      <c r="A16" s="18" t="s">
        <v>72</v>
      </c>
      <c r="B16" s="19" t="s">
        <v>52</v>
      </c>
      <c r="C16" s="13" t="str">
        <f>C$14&amp;"."&amp;COUNTA(C$14:C15)</f>
        <v>1.2</v>
      </c>
      <c r="D16" s="17" t="s">
        <v>149</v>
      </c>
      <c r="E16" s="34"/>
      <c r="F16" s="15" t="s">
        <v>6</v>
      </c>
      <c r="G16" s="16"/>
      <c r="H16" s="20">
        <v>0</v>
      </c>
      <c r="I16" s="20">
        <f>IF(AND(RIGHT(Demolitions1[[#This Row],[INDEX]],3)&lt;&gt;"000",Demolitions1[[#This Row],[INDEX]]&lt;&gt;""),Demolitions1[[#This Row],[QUANTITE]]*Demolitions1[[#This Row],[P.U.]],"")</f>
        <v>0</v>
      </c>
      <c r="J16" s="35" t="str">
        <f>IF(AND(RIGHT(Demolitions1[[#This Row],[INDEX]],3)&lt;&gt;"000",Demolitions1[[#This Row],[INDEX]]&lt;&gt;""),IF(Demolitions1[[#This Row],[PRESTA]]="F","1","1"),"")</f>
        <v>1</v>
      </c>
    </row>
    <row r="17" spans="1:10" s="33" customFormat="1" ht="101.25" x14ac:dyDescent="0.2">
      <c r="A17" s="18" t="s">
        <v>73</v>
      </c>
      <c r="B17" s="19" t="s">
        <v>52</v>
      </c>
      <c r="C17" s="13" t="str">
        <f>C$14&amp;"."&amp;COUNTA(C$14:C16)</f>
        <v>1.3</v>
      </c>
      <c r="D17" s="17" t="s">
        <v>150</v>
      </c>
      <c r="E17" s="34"/>
      <c r="F17" s="15" t="s">
        <v>6</v>
      </c>
      <c r="G17" s="16"/>
      <c r="H17" s="20">
        <v>0</v>
      </c>
      <c r="I17" s="20">
        <f>IF(AND(RIGHT(Demolitions1[[#This Row],[INDEX]],3)&lt;&gt;"000",Demolitions1[[#This Row],[INDEX]]&lt;&gt;""),Demolitions1[[#This Row],[QUANTITE]]*Demolitions1[[#This Row],[P.U.]],"")</f>
        <v>0</v>
      </c>
      <c r="J17" s="35" t="str">
        <f>IF(AND(RIGHT(Demolitions1[[#This Row],[INDEX]],3)&lt;&gt;"000",Demolitions1[[#This Row],[INDEX]]&lt;&gt;""),IF(Demolitions1[[#This Row],[PRESTA]]="F","1","1"),"")</f>
        <v>1</v>
      </c>
    </row>
    <row r="18" spans="1:10" s="33" customFormat="1" ht="67.5" x14ac:dyDescent="0.2">
      <c r="A18" s="18" t="s">
        <v>74</v>
      </c>
      <c r="B18" s="19" t="s">
        <v>52</v>
      </c>
      <c r="C18" s="13" t="str">
        <f>C$14&amp;"."&amp;COUNTA(C$14:C17)</f>
        <v>1.4</v>
      </c>
      <c r="D18" s="17" t="s">
        <v>151</v>
      </c>
      <c r="E18" s="34"/>
      <c r="F18" s="15" t="s">
        <v>6</v>
      </c>
      <c r="G18" s="16"/>
      <c r="H18" s="20">
        <v>0</v>
      </c>
      <c r="I18" s="20">
        <f>IF(AND(RIGHT(Demolitions1[[#This Row],[INDEX]],3)&lt;&gt;"000",Demolitions1[[#This Row],[INDEX]]&lt;&gt;""),Demolitions1[[#This Row],[QUANTITE]]*Demolitions1[[#This Row],[P.U.]],"")</f>
        <v>0</v>
      </c>
      <c r="J18" s="35" t="str">
        <f>IF(AND(RIGHT(Demolitions1[[#This Row],[INDEX]],3)&lt;&gt;"000",Demolitions1[[#This Row],[INDEX]]&lt;&gt;""),IF(Demolitions1[[#This Row],[PRESTA]]="F","1","1"),"")</f>
        <v>1</v>
      </c>
    </row>
    <row r="19" spans="1:10" s="33" customFormat="1" ht="56.25" x14ac:dyDescent="0.2">
      <c r="A19" s="18" t="s">
        <v>75</v>
      </c>
      <c r="B19" s="19" t="s">
        <v>52</v>
      </c>
      <c r="C19" s="13" t="str">
        <f>C$14&amp;"."&amp;COUNTA(C$14:C18)</f>
        <v>1.5</v>
      </c>
      <c r="D19" s="17" t="s">
        <v>152</v>
      </c>
      <c r="E19" s="34"/>
      <c r="F19" s="15" t="s">
        <v>4</v>
      </c>
      <c r="G19" s="16"/>
      <c r="H19" s="20">
        <v>10</v>
      </c>
      <c r="I19" s="20">
        <f>IF(AND(RIGHT(Demolitions1[[#This Row],[INDEX]],3)&lt;&gt;"000",Demolitions1[[#This Row],[INDEX]]&lt;&gt;""),Demolitions1[[#This Row],[QUANTITE]]*Demolitions1[[#This Row],[P.U.]],"")</f>
        <v>0</v>
      </c>
      <c r="J19" s="35" t="str">
        <f>IF(AND(RIGHT(Demolitions1[[#This Row],[INDEX]],3)&lt;&gt;"000",Demolitions1[[#This Row],[INDEX]]&lt;&gt;""),IF(Demolitions1[[#This Row],[PRESTA]]="F","1","1"),"")</f>
        <v>1</v>
      </c>
    </row>
    <row r="20" spans="1:10" s="33" customFormat="1" ht="67.5" x14ac:dyDescent="0.2">
      <c r="A20" s="18" t="s">
        <v>76</v>
      </c>
      <c r="B20" s="19" t="s">
        <v>52</v>
      </c>
      <c r="C20" s="13" t="str">
        <f>C$14&amp;"."&amp;COUNTA(C$14:C19)</f>
        <v>1.6</v>
      </c>
      <c r="D20" s="17" t="s">
        <v>153</v>
      </c>
      <c r="E20" s="34"/>
      <c r="F20" s="15" t="s">
        <v>5</v>
      </c>
      <c r="G20" s="16"/>
      <c r="H20" s="20">
        <v>0</v>
      </c>
      <c r="I20" s="20">
        <f>IF(AND(RIGHT(Demolitions1[[#This Row],[INDEX]],3)&lt;&gt;"000",Demolitions1[[#This Row],[INDEX]]&lt;&gt;""),Demolitions1[[#This Row],[QUANTITE]]*Demolitions1[[#This Row],[P.U.]],"")</f>
        <v>0</v>
      </c>
      <c r="J20" s="35" t="str">
        <f>IF(AND(RIGHT(Demolitions1[[#This Row],[INDEX]],3)&lt;&gt;"000",Demolitions1[[#This Row],[INDEX]]&lt;&gt;""),IF(Demolitions1[[#This Row],[PRESTA]]="F","1","1"),"")</f>
        <v>1</v>
      </c>
    </row>
    <row r="21" spans="1:10" s="33" customFormat="1" ht="67.5" x14ac:dyDescent="0.2">
      <c r="A21" s="18" t="s">
        <v>77</v>
      </c>
      <c r="B21" s="19" t="s">
        <v>52</v>
      </c>
      <c r="C21" s="13" t="str">
        <f>C$14&amp;"."&amp;COUNTA(C$14:C20)</f>
        <v>1.7</v>
      </c>
      <c r="D21" s="17" t="s">
        <v>154</v>
      </c>
      <c r="E21" s="34"/>
      <c r="F21" s="15" t="s">
        <v>4</v>
      </c>
      <c r="G21" s="16"/>
      <c r="H21" s="20">
        <v>0</v>
      </c>
      <c r="I21" s="20">
        <f>IF(AND(RIGHT(Demolitions1[[#This Row],[INDEX]],3)&lt;&gt;"000",Demolitions1[[#This Row],[INDEX]]&lt;&gt;""),Demolitions1[[#This Row],[QUANTITE]]*Demolitions1[[#This Row],[P.U.]],"")</f>
        <v>0</v>
      </c>
      <c r="J21" s="35" t="str">
        <f>IF(AND(RIGHT(Demolitions1[[#This Row],[INDEX]],3)&lt;&gt;"000",Demolitions1[[#This Row],[INDEX]]&lt;&gt;""),IF(Demolitions1[[#This Row],[PRESTA]]="F","1","1"),"")</f>
        <v>1</v>
      </c>
    </row>
    <row r="22" spans="1:10" s="33" customFormat="1" ht="123.75" x14ac:dyDescent="0.2">
      <c r="A22" s="18" t="s">
        <v>78</v>
      </c>
      <c r="B22" s="19" t="s">
        <v>52</v>
      </c>
      <c r="C22" s="13" t="str">
        <f>C$14&amp;"."&amp;COUNTA(C$14:C21)</f>
        <v>1.8</v>
      </c>
      <c r="D22" s="17" t="s">
        <v>155</v>
      </c>
      <c r="E22" s="34"/>
      <c r="F22" s="15" t="s">
        <v>5</v>
      </c>
      <c r="G22" s="16"/>
      <c r="H22" s="20">
        <v>25</v>
      </c>
      <c r="I22" s="20">
        <f>IF(AND(RIGHT(Demolitions1[[#This Row],[INDEX]],3)&lt;&gt;"000",Demolitions1[[#This Row],[INDEX]]&lt;&gt;""),Demolitions1[[#This Row],[QUANTITE]]*Demolitions1[[#This Row],[P.U.]],"")</f>
        <v>0</v>
      </c>
      <c r="J22" s="35" t="str">
        <f>IF(AND(RIGHT(Demolitions1[[#This Row],[INDEX]],3)&lt;&gt;"000",Demolitions1[[#This Row],[INDEX]]&lt;&gt;""),IF(Demolitions1[[#This Row],[PRESTA]]="F","1","1"),"")</f>
        <v>1</v>
      </c>
    </row>
    <row r="23" spans="1:10" s="33" customFormat="1" ht="78.75" x14ac:dyDescent="0.2">
      <c r="A23" s="18" t="s">
        <v>79</v>
      </c>
      <c r="B23" s="19" t="s">
        <v>52</v>
      </c>
      <c r="C23" s="13" t="str">
        <f>C$14&amp;"."&amp;COUNTA(C$14:C22)</f>
        <v>1.9</v>
      </c>
      <c r="D23" s="17" t="s">
        <v>156</v>
      </c>
      <c r="E23" s="34"/>
      <c r="F23" s="15" t="s">
        <v>6</v>
      </c>
      <c r="G23" s="16"/>
      <c r="H23" s="20">
        <v>0</v>
      </c>
      <c r="I23" s="20">
        <f>IF(AND(RIGHT(Demolitions1[[#This Row],[INDEX]],3)&lt;&gt;"000",Demolitions1[[#This Row],[INDEX]]&lt;&gt;""),Demolitions1[[#This Row],[QUANTITE]]*Demolitions1[[#This Row],[P.U.]],"")</f>
        <v>0</v>
      </c>
      <c r="J23" s="35" t="str">
        <f>IF(AND(RIGHT(Demolitions1[[#This Row],[INDEX]],3)&lt;&gt;"000",Demolitions1[[#This Row],[INDEX]]&lt;&gt;""),IF(Demolitions1[[#This Row],[PRESTA]]="F","1","1"),"")</f>
        <v>1</v>
      </c>
    </row>
    <row r="24" spans="1:10" s="33" customFormat="1" ht="56.25" x14ac:dyDescent="0.2">
      <c r="A24" s="18" t="s">
        <v>80</v>
      </c>
      <c r="B24" s="19" t="s">
        <v>52</v>
      </c>
      <c r="C24" s="13" t="str">
        <f>C$14&amp;"."&amp;COUNTA(C$14:C23)</f>
        <v>1.10</v>
      </c>
      <c r="D24" s="17" t="s">
        <v>157</v>
      </c>
      <c r="E24" s="34"/>
      <c r="F24" s="15" t="s">
        <v>6</v>
      </c>
      <c r="G24" s="16"/>
      <c r="H24" s="20">
        <v>0</v>
      </c>
      <c r="I24" s="20">
        <f>IF(AND(RIGHT(Demolitions1[[#This Row],[INDEX]],3)&lt;&gt;"000",Demolitions1[[#This Row],[INDEX]]&lt;&gt;""),Demolitions1[[#This Row],[QUANTITE]]*Demolitions1[[#This Row],[P.U.]],"")</f>
        <v>0</v>
      </c>
      <c r="J24" s="35" t="str">
        <f>IF(AND(RIGHT(Demolitions1[[#This Row],[INDEX]],3)&lt;&gt;"000",Demolitions1[[#This Row],[INDEX]]&lt;&gt;""),IF(Demolitions1[[#This Row],[PRESTA]]="F","1","1"),"")</f>
        <v>1</v>
      </c>
    </row>
    <row r="25" spans="1:10" ht="11.25" x14ac:dyDescent="0.2">
      <c r="A25" s="18"/>
      <c r="B25" s="19"/>
      <c r="C25" s="13"/>
      <c r="D25" s="14"/>
      <c r="E25" s="14"/>
      <c r="F25" s="15"/>
      <c r="G25" s="16"/>
      <c r="H25" s="20"/>
      <c r="I25" s="29" t="str">
        <f>IF(AND(RIGHT(Demolitions1[[#This Row],[INDEX]],3)&lt;&gt;"000",Demolitions1[[#This Row],[INDEX]]&lt;&gt;""),Demolitions1[[#This Row],[QUANTITE]]*Demolitions1[[#This Row],[P.U.]],"")</f>
        <v/>
      </c>
      <c r="J25" s="35" t="str">
        <f>IF(AND(RIGHT(Demolitions1[[#This Row],[INDEX]],3)&lt;&gt;"000",Demolitions1[[#This Row],[INDEX]]&lt;&gt;""),IF(Demolitions1[[#This Row],[PRESTA]]="F","1","1"),"")</f>
        <v/>
      </c>
    </row>
    <row r="26" spans="1:10" ht="18" customHeight="1" x14ac:dyDescent="0.2">
      <c r="C26" s="1"/>
      <c r="D26" s="1"/>
      <c r="E26" s="1"/>
      <c r="F26" s="1"/>
      <c r="G26" s="1"/>
      <c r="H26" s="1"/>
      <c r="I26" s="1"/>
      <c r="J26" s="1"/>
    </row>
    <row r="27" spans="1:10" ht="18" customHeight="1" x14ac:dyDescent="0.2">
      <c r="C27" s="56" t="s">
        <v>2</v>
      </c>
      <c r="D27" s="1"/>
      <c r="E27" s="1"/>
      <c r="F27" s="37"/>
      <c r="G27" s="5" t="s">
        <v>57</v>
      </c>
      <c r="H27" s="6"/>
      <c r="I27" s="105">
        <f>SUM(Demolitions1[TOTAL H.T.])</f>
        <v>0</v>
      </c>
      <c r="J27" s="106"/>
    </row>
    <row r="28" spans="1:10" ht="18" customHeight="1" x14ac:dyDescent="0.2">
      <c r="C28" s="4" t="s">
        <v>1</v>
      </c>
      <c r="D28" s="1"/>
      <c r="E28" s="1"/>
      <c r="F28" s="37"/>
      <c r="G28" s="7" t="s">
        <v>59</v>
      </c>
      <c r="H28" s="8"/>
      <c r="I28" s="107">
        <f>SUMIF(Demolitions1[TVA],"1",Demolitions1[TOTAL H.T.])*20%</f>
        <v>0</v>
      </c>
      <c r="J28" s="108"/>
    </row>
    <row r="29" spans="1:10" ht="18" customHeight="1" x14ac:dyDescent="0.2">
      <c r="C29" s="1"/>
      <c r="D29" s="1"/>
      <c r="E29" s="1"/>
      <c r="F29" s="37"/>
      <c r="G29" s="7" t="s">
        <v>60</v>
      </c>
      <c r="H29" s="9"/>
      <c r="I29" s="107">
        <f>SUMIF(Demolitions1[TVA],"2",Demolitions1[TOTAL H.T.])*10%</f>
        <v>0</v>
      </c>
      <c r="J29" s="108"/>
    </row>
    <row r="30" spans="1:10" ht="18" customHeight="1" x14ac:dyDescent="0.2">
      <c r="C30" s="1"/>
      <c r="D30" s="1"/>
      <c r="E30" s="1"/>
      <c r="F30" s="37"/>
      <c r="G30" s="7" t="s">
        <v>61</v>
      </c>
      <c r="H30" s="9"/>
      <c r="I30" s="107">
        <f>SUMIF(Demolitions1[TVA],"3",Demolitions1[TOTAL H.T.])*5.5%</f>
        <v>0</v>
      </c>
      <c r="J30" s="108"/>
    </row>
    <row r="31" spans="1:10" ht="18" customHeight="1" x14ac:dyDescent="0.2">
      <c r="C31" s="1"/>
      <c r="D31" s="1"/>
      <c r="E31" s="1"/>
      <c r="F31" s="37"/>
      <c r="G31" s="10" t="s">
        <v>58</v>
      </c>
      <c r="H31" s="11"/>
      <c r="I31" s="100">
        <f>SUM(I27:I30)</f>
        <v>0</v>
      </c>
      <c r="J31" s="101"/>
    </row>
  </sheetData>
  <sheetProtection sheet="1" objects="1" scenarios="1" insertRows="0" deleteRows="0" selectLockedCells="1"/>
  <dataConsolidate/>
  <mergeCells count="7">
    <mergeCell ref="I31:J31"/>
    <mergeCell ref="C10:J10"/>
    <mergeCell ref="C11:J11"/>
    <mergeCell ref="I27:J27"/>
    <mergeCell ref="I28:J28"/>
    <mergeCell ref="I29:J29"/>
    <mergeCell ref="I30:J30"/>
  </mergeCells>
  <conditionalFormatting sqref="B14:B25">
    <cfRule type="cellIs" dxfId="52" priority="4" operator="equal">
      <formula>"F"</formula>
    </cfRule>
    <cfRule type="cellIs" dxfId="51" priority="5" operator="equal">
      <formula>"F &amp; P"</formula>
    </cfRule>
  </conditionalFormatting>
  <conditionalFormatting sqref="A14:H25">
    <cfRule type="expression" dxfId="50" priority="3">
      <formula>RIGHT($A14,3)="000"</formula>
    </cfRule>
  </conditionalFormatting>
  <dataValidations count="4">
    <dataValidation type="custom" allowBlank="1" showErrorMessage="1" errorTitle="Erreur de saisie" error="Veuillez saisir le nom en majuscules et sans symbole &quot;/&quot;" sqref="C10:J10">
      <formula1>EXACT(C10,UPPER(C10))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25">
      <formula1>"1,2,3"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:B25">
      <formula1>"F &amp; P,F"</formula1>
    </dataValidation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25">
      <formula1>"U,ens,ml,m²,m³,Fo,Kg,T"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849" r:id="rId4" name="Mode">
          <controlPr defaultSize="0" print="0" autoLine="0" r:id="rId5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06849" r:id="rId4" name="Mode"/>
      </mc:Fallback>
    </mc:AlternateContent>
    <mc:AlternateContent xmlns:mc="http://schemas.openxmlformats.org/markup-compatibility/2006">
      <mc:Choice Requires="x14">
        <control shapeId="206850" r:id="rId6" name="Presta">
          <controlPr defaultSize="0" print="0" disabled="1" autoLine="0" r:id="rId7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06850" r:id="rId6" name="Presta"/>
      </mc:Fallback>
    </mc:AlternateContent>
    <mc:AlternateContent xmlns:mc="http://schemas.openxmlformats.org/markup-compatibility/2006">
      <mc:Choice Requires="x14">
        <control shapeId="206851" r:id="rId8" name="PlusValue">
          <controlPr defaultSize="0" print="0" disabled="1" autoLine="0" r:id="rId9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06851" r:id="rId8" name="PlusValue"/>
      </mc:Fallback>
    </mc:AlternateContent>
    <mc:AlternateContent xmlns:mc="http://schemas.openxmlformats.org/markup-compatibility/2006">
      <mc:Choice Requires="x14">
        <control shapeId="206852" r:id="rId10" name="TauxPlusValue">
          <controlPr defaultSize="0" print="0" disabled="1" autoLine="0" r:id="rId11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06852" r:id="rId10" name="TauxPlusValue"/>
      </mc:Fallback>
    </mc:AlternateContent>
  </controls>
  <tableParts count="1">
    <tablePart r:id="rId1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1" tint="0.249977111117893"/>
  </sheetPr>
  <dimension ref="A1:P34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67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1.25" x14ac:dyDescent="0.2">
      <c r="A14" s="18" t="s">
        <v>81</v>
      </c>
      <c r="B14" s="19"/>
      <c r="C14" s="13">
        <v>1</v>
      </c>
      <c r="D14" s="14" t="s">
        <v>95</v>
      </c>
      <c r="E14" s="36"/>
      <c r="F14" s="15"/>
      <c r="G14" s="16"/>
      <c r="H14" s="20"/>
      <c r="I14" s="20" t="str">
        <f>IF(AND(RIGHT(Bacacier1[[#This Row],[INDEX]],3)&lt;&gt;"000",Bacacier1[[#This Row],[INDEX]]&lt;&gt;""),Bacacier1[[#This Row],[QUANTITE]]*Bacacier1[[#This Row],[P.U.]],"")</f>
        <v/>
      </c>
      <c r="J14" s="35" t="str">
        <f>IF(AND(RIGHT(Bacacier1[[#This Row],[INDEX]],3)&lt;&gt;"000",Bacacier1[[#This Row],[INDEX]]&lt;&gt;""),IF(Bacacier1[[#This Row],[PRESTA]]="F","1","1"),"")</f>
        <v/>
      </c>
    </row>
    <row r="15" spans="1:16" s="33" customFormat="1" ht="67.5" x14ac:dyDescent="0.2">
      <c r="A15" s="18" t="s">
        <v>82</v>
      </c>
      <c r="B15" s="19" t="s">
        <v>52</v>
      </c>
      <c r="C15" s="13" t="str">
        <f>C$14&amp;"."&amp;COUNTA(C$14:C14)</f>
        <v>1.1</v>
      </c>
      <c r="D15" s="17" t="s">
        <v>198</v>
      </c>
      <c r="E15" s="36"/>
      <c r="F15" s="15" t="s">
        <v>6</v>
      </c>
      <c r="G15" s="16"/>
      <c r="H15" s="20">
        <v>98.41</v>
      </c>
      <c r="I15" s="20">
        <f>IF(AND(RIGHT(Bacacier1[[#This Row],[INDEX]],3)&lt;&gt;"000",Bacacier1[[#This Row],[INDEX]]&lt;&gt;""),Bacacier1[[#This Row],[QUANTITE]]*Bacacier1[[#This Row],[P.U.]],"")</f>
        <v>0</v>
      </c>
      <c r="J15" s="35" t="str">
        <f>IF(AND(RIGHT(Bacacier1[[#This Row],[INDEX]],3)&lt;&gt;"000",Bacacier1[[#This Row],[INDEX]]&lt;&gt;""),IF(Bacacier1[[#This Row],[PRESTA]]="F","1","1"),"")</f>
        <v>1</v>
      </c>
    </row>
    <row r="16" spans="1:16" s="33" customFormat="1" ht="11.25" x14ac:dyDescent="0.2">
      <c r="A16" s="18" t="s">
        <v>83</v>
      </c>
      <c r="B16" s="19"/>
      <c r="C16" s="13">
        <v>2</v>
      </c>
      <c r="D16" s="14" t="s">
        <v>96</v>
      </c>
      <c r="E16" s="36"/>
      <c r="F16" s="15"/>
      <c r="G16" s="16"/>
      <c r="H16" s="20"/>
      <c r="I16" s="20" t="str">
        <f>IF(AND(RIGHT(Bacacier1[[#This Row],[INDEX]],3)&lt;&gt;"000",Bacacier1[[#This Row],[INDEX]]&lt;&gt;""),Bacacier1[[#This Row],[QUANTITE]]*Bacacier1[[#This Row],[P.U.]],"")</f>
        <v/>
      </c>
      <c r="J16" s="35" t="str">
        <f>IF(AND(RIGHT(Bacacier1[[#This Row],[INDEX]],3)&lt;&gt;"000",Bacacier1[[#This Row],[INDEX]]&lt;&gt;""),IF(Bacacier1[[#This Row],[PRESTA]]="F","1","1"),"")</f>
        <v/>
      </c>
    </row>
    <row r="17" spans="1:10" s="33" customFormat="1" ht="180" x14ac:dyDescent="0.2">
      <c r="A17" s="18" t="s">
        <v>84</v>
      </c>
      <c r="B17" s="19" t="s">
        <v>52</v>
      </c>
      <c r="C17" s="13" t="str">
        <f>C$16&amp;"."&amp;COUNTA(C$16:C16)</f>
        <v>2.1</v>
      </c>
      <c r="D17" s="17" t="s">
        <v>199</v>
      </c>
      <c r="E17" s="36"/>
      <c r="F17" s="15" t="s">
        <v>4</v>
      </c>
      <c r="G17" s="16"/>
      <c r="H17" s="20">
        <v>48</v>
      </c>
      <c r="I17" s="20">
        <f>IF(AND(RIGHT(Bacacier1[[#This Row],[INDEX]],3)&lt;&gt;"000",Bacacier1[[#This Row],[INDEX]]&lt;&gt;""),Bacacier1[[#This Row],[QUANTITE]]*Bacacier1[[#This Row],[P.U.]],"")</f>
        <v>0</v>
      </c>
      <c r="J17" s="35" t="str">
        <f>IF(AND(RIGHT(Bacacier1[[#This Row],[INDEX]],3)&lt;&gt;"000",Bacacier1[[#This Row],[INDEX]]&lt;&gt;""),IF(Bacacier1[[#This Row],[PRESTA]]="F","1","1"),"")</f>
        <v>1</v>
      </c>
    </row>
    <row r="18" spans="1:10" s="33" customFormat="1" ht="11.25" x14ac:dyDescent="0.2">
      <c r="A18" s="18" t="s">
        <v>85</v>
      </c>
      <c r="B18" s="19"/>
      <c r="C18" s="13">
        <v>3</v>
      </c>
      <c r="D18" s="14" t="s">
        <v>97</v>
      </c>
      <c r="E18" s="36"/>
      <c r="F18" s="15"/>
      <c r="G18" s="16"/>
      <c r="H18" s="20"/>
      <c r="I18" s="20" t="str">
        <f>IF(AND(RIGHT(Bacacier1[[#This Row],[INDEX]],3)&lt;&gt;"000",Bacacier1[[#This Row],[INDEX]]&lt;&gt;""),Bacacier1[[#This Row],[QUANTITE]]*Bacacier1[[#This Row],[P.U.]],"")</f>
        <v/>
      </c>
      <c r="J18" s="35" t="str">
        <f>IF(AND(RIGHT(Bacacier1[[#This Row],[INDEX]],3)&lt;&gt;"000",Bacacier1[[#This Row],[INDEX]]&lt;&gt;""),IF(Bacacier1[[#This Row],[PRESTA]]="F","1","1"),"")</f>
        <v/>
      </c>
    </row>
    <row r="19" spans="1:10" s="33" customFormat="1" ht="22.5" x14ac:dyDescent="0.2">
      <c r="A19" s="18" t="s">
        <v>86</v>
      </c>
      <c r="B19" s="19" t="s">
        <v>52</v>
      </c>
      <c r="C19" s="13" t="str">
        <f>C$18&amp;"."&amp;COUNTA(C$18:C18)</f>
        <v>3.1</v>
      </c>
      <c r="D19" s="50" t="s">
        <v>200</v>
      </c>
      <c r="E19" s="36"/>
      <c r="F19" s="15" t="s">
        <v>5</v>
      </c>
      <c r="G19" s="16"/>
      <c r="H19" s="20">
        <v>2.73</v>
      </c>
      <c r="I19" s="20">
        <f>IF(AND(RIGHT(Bacacier1[[#This Row],[INDEX]],3)&lt;&gt;"000",Bacacier1[[#This Row],[INDEX]]&lt;&gt;""),Bacacier1[[#This Row],[QUANTITE]]*Bacacier1[[#This Row],[P.U.]],"")</f>
        <v>0</v>
      </c>
      <c r="J19" s="35" t="str">
        <f>IF(AND(RIGHT(Bacacier1[[#This Row],[INDEX]],3)&lt;&gt;"000",Bacacier1[[#This Row],[INDEX]]&lt;&gt;""),IF(Bacacier1[[#This Row],[PRESTA]]="F","1","1"),"")</f>
        <v>1</v>
      </c>
    </row>
    <row r="20" spans="1:10" s="33" customFormat="1" ht="11.25" x14ac:dyDescent="0.2">
      <c r="A20" s="18" t="s">
        <v>87</v>
      </c>
      <c r="B20" s="19"/>
      <c r="C20" s="13">
        <v>4</v>
      </c>
      <c r="D20" s="14" t="s">
        <v>98</v>
      </c>
      <c r="E20" s="36"/>
      <c r="F20" s="15"/>
      <c r="G20" s="16"/>
      <c r="H20" s="20"/>
      <c r="I20" s="20" t="str">
        <f>IF(AND(RIGHT(Bacacier1[[#This Row],[INDEX]],3)&lt;&gt;"000",Bacacier1[[#This Row],[INDEX]]&lt;&gt;""),Bacacier1[[#This Row],[QUANTITE]]*Bacacier1[[#This Row],[P.U.]],"")</f>
        <v/>
      </c>
      <c r="J20" s="35" t="str">
        <f>IF(AND(RIGHT(Bacacier1[[#This Row],[INDEX]],3)&lt;&gt;"000",Bacacier1[[#This Row],[INDEX]]&lt;&gt;""),IF(Bacacier1[[#This Row],[PRESTA]]="F","1","1"),"")</f>
        <v/>
      </c>
    </row>
    <row r="21" spans="1:10" s="33" customFormat="1" ht="78.75" x14ac:dyDescent="0.2">
      <c r="A21" s="18" t="s">
        <v>88</v>
      </c>
      <c r="B21" s="19" t="s">
        <v>52</v>
      </c>
      <c r="C21" s="13" t="str">
        <f>C$20&amp;"."&amp;COUNTA(C$20:C20)</f>
        <v>4.1</v>
      </c>
      <c r="D21" s="17" t="s">
        <v>201</v>
      </c>
      <c r="E21" s="36"/>
      <c r="F21" s="15" t="s">
        <v>5</v>
      </c>
      <c r="G21" s="16"/>
      <c r="H21" s="20">
        <v>30.84</v>
      </c>
      <c r="I21" s="20">
        <f>IF(AND(RIGHT(Bacacier1[[#This Row],[INDEX]],3)&lt;&gt;"000",Bacacier1[[#This Row],[INDEX]]&lt;&gt;""),Bacacier1[[#This Row],[QUANTITE]]*Bacacier1[[#This Row],[P.U.]],"")</f>
        <v>0</v>
      </c>
      <c r="J21" s="35" t="str">
        <f>IF(AND(RIGHT(Bacacier1[[#This Row],[INDEX]],3)&lt;&gt;"000",Bacacier1[[#This Row],[INDEX]]&lt;&gt;""),IF(Bacacier1[[#This Row],[PRESTA]]="F","1","1"),"")</f>
        <v>1</v>
      </c>
    </row>
    <row r="22" spans="1:10" s="33" customFormat="1" ht="78.75" x14ac:dyDescent="0.2">
      <c r="A22" s="18" t="s">
        <v>89</v>
      </c>
      <c r="B22" s="19" t="s">
        <v>52</v>
      </c>
      <c r="C22" s="13" t="str">
        <f>C$20&amp;"."&amp;COUNTA(C$20:C21)</f>
        <v>4.2</v>
      </c>
      <c r="D22" s="17" t="s">
        <v>202</v>
      </c>
      <c r="E22" s="36"/>
      <c r="F22" s="15" t="s">
        <v>5</v>
      </c>
      <c r="G22" s="16"/>
      <c r="H22" s="20">
        <v>31.12</v>
      </c>
      <c r="I22" s="20">
        <f>IF(AND(RIGHT(Bacacier1[[#This Row],[INDEX]],3)&lt;&gt;"000",Bacacier1[[#This Row],[INDEX]]&lt;&gt;""),Bacacier1[[#This Row],[QUANTITE]]*Bacacier1[[#This Row],[P.U.]],"")</f>
        <v>0</v>
      </c>
      <c r="J22" s="35" t="str">
        <f>IF(AND(RIGHT(Bacacier1[[#This Row],[INDEX]],3)&lt;&gt;"000",Bacacier1[[#This Row],[INDEX]]&lt;&gt;""),IF(Bacacier1[[#This Row],[PRESTA]]="F","1","1"),"")</f>
        <v>1</v>
      </c>
    </row>
    <row r="23" spans="1:10" s="33" customFormat="1" ht="78.75" x14ac:dyDescent="0.2">
      <c r="A23" s="18" t="s">
        <v>90</v>
      </c>
      <c r="B23" s="19" t="s">
        <v>52</v>
      </c>
      <c r="C23" s="13" t="str">
        <f>C$20&amp;"."&amp;COUNTA(C$20:C22)</f>
        <v>4.3</v>
      </c>
      <c r="D23" s="17" t="s">
        <v>203</v>
      </c>
      <c r="E23" s="36"/>
      <c r="F23" s="15" t="s">
        <v>5</v>
      </c>
      <c r="G23" s="16"/>
      <c r="H23" s="20">
        <v>48.97</v>
      </c>
      <c r="I23" s="20">
        <f>IF(AND(RIGHT(Bacacier1[[#This Row],[INDEX]],3)&lt;&gt;"000",Bacacier1[[#This Row],[INDEX]]&lt;&gt;""),Bacacier1[[#This Row],[QUANTITE]]*Bacacier1[[#This Row],[P.U.]],"")</f>
        <v>0</v>
      </c>
      <c r="J23" s="35" t="str">
        <f>IF(AND(RIGHT(Bacacier1[[#This Row],[INDEX]],3)&lt;&gt;"000",Bacacier1[[#This Row],[INDEX]]&lt;&gt;""),IF(Bacacier1[[#This Row],[PRESTA]]="F","1","1"),"")</f>
        <v>1</v>
      </c>
    </row>
    <row r="24" spans="1:10" s="33" customFormat="1" ht="33.75" x14ac:dyDescent="0.2">
      <c r="A24" s="18" t="s">
        <v>91</v>
      </c>
      <c r="B24" s="19" t="s">
        <v>52</v>
      </c>
      <c r="C24" s="13" t="str">
        <f>C$20&amp;"."&amp;COUNTA(C$20:C23)</f>
        <v>4.4</v>
      </c>
      <c r="D24" s="50" t="s">
        <v>204</v>
      </c>
      <c r="E24" s="36"/>
      <c r="F24" s="15" t="s">
        <v>5</v>
      </c>
      <c r="G24" s="16"/>
      <c r="H24" s="20">
        <v>19.649999999999999</v>
      </c>
      <c r="I24" s="20">
        <f>IF(AND(RIGHT(Bacacier1[[#This Row],[INDEX]],3)&lt;&gt;"000",Bacacier1[[#This Row],[INDEX]]&lt;&gt;""),Bacacier1[[#This Row],[QUANTITE]]*Bacacier1[[#This Row],[P.U.]],"")</f>
        <v>0</v>
      </c>
      <c r="J24" s="35" t="str">
        <f>IF(AND(RIGHT(Bacacier1[[#This Row],[INDEX]],3)&lt;&gt;"000",Bacacier1[[#This Row],[INDEX]]&lt;&gt;""),IF(Bacacier1[[#This Row],[PRESTA]]="F","1","1"),"")</f>
        <v>1</v>
      </c>
    </row>
    <row r="25" spans="1:10" s="33" customFormat="1" ht="11.25" x14ac:dyDescent="0.2">
      <c r="A25" s="18" t="s">
        <v>92</v>
      </c>
      <c r="B25" s="19"/>
      <c r="C25" s="13">
        <v>5</v>
      </c>
      <c r="D25" s="14" t="s">
        <v>99</v>
      </c>
      <c r="E25" s="36"/>
      <c r="F25" s="15"/>
      <c r="G25" s="16"/>
      <c r="H25" s="20"/>
      <c r="I25" s="20" t="str">
        <f>IF(AND(RIGHT(Bacacier1[[#This Row],[INDEX]],3)&lt;&gt;"000",Bacacier1[[#This Row],[INDEX]]&lt;&gt;""),Bacacier1[[#This Row],[QUANTITE]]*Bacacier1[[#This Row],[P.U.]],"")</f>
        <v/>
      </c>
      <c r="J25" s="35" t="str">
        <f>IF(AND(RIGHT(Bacacier1[[#This Row],[INDEX]],3)&lt;&gt;"000",Bacacier1[[#This Row],[INDEX]]&lt;&gt;""),IF(Bacacier1[[#This Row],[PRESTA]]="F","1","1"),"")</f>
        <v/>
      </c>
    </row>
    <row r="26" spans="1:10" s="33" customFormat="1" ht="101.25" x14ac:dyDescent="0.2">
      <c r="A26" s="18" t="s">
        <v>93</v>
      </c>
      <c r="B26" s="19" t="s">
        <v>52</v>
      </c>
      <c r="C26" s="13" t="str">
        <f>C$25&amp;"."&amp;COUNTA(C$25:C25)</f>
        <v>5.1</v>
      </c>
      <c r="D26" s="17" t="s">
        <v>205</v>
      </c>
      <c r="E26" s="36"/>
      <c r="F26" s="15" t="s">
        <v>7</v>
      </c>
      <c r="G26" s="16"/>
      <c r="H26" s="20">
        <v>100.8</v>
      </c>
      <c r="I26" s="20">
        <f>IF(AND(RIGHT(Bacacier1[[#This Row],[INDEX]],3)&lt;&gt;"000",Bacacier1[[#This Row],[INDEX]]&lt;&gt;""),Bacacier1[[#This Row],[QUANTITE]]*Bacacier1[[#This Row],[P.U.]],"")</f>
        <v>0</v>
      </c>
      <c r="J26" s="35" t="str">
        <f>IF(AND(RIGHT(Bacacier1[[#This Row],[INDEX]],3)&lt;&gt;"000",Bacacier1[[#This Row],[INDEX]]&lt;&gt;""),IF(Bacacier1[[#This Row],[PRESTA]]="F","1","1"),"")</f>
        <v>1</v>
      </c>
    </row>
    <row r="27" spans="1:10" s="33" customFormat="1" ht="101.25" x14ac:dyDescent="0.2">
      <c r="A27" s="18" t="s">
        <v>94</v>
      </c>
      <c r="B27" s="19" t="s">
        <v>52</v>
      </c>
      <c r="C27" s="13" t="str">
        <f>C$25&amp;"."&amp;COUNTA(C$25:C26)</f>
        <v>5.2</v>
      </c>
      <c r="D27" s="17" t="s">
        <v>206</v>
      </c>
      <c r="E27" s="36"/>
      <c r="F27" s="15" t="s">
        <v>7</v>
      </c>
      <c r="G27" s="16"/>
      <c r="H27" s="20">
        <v>100.8</v>
      </c>
      <c r="I27" s="20">
        <f>IF(AND(RIGHT(Bacacier1[[#This Row],[INDEX]],3)&lt;&gt;"000",Bacacier1[[#This Row],[INDEX]]&lt;&gt;""),Bacacier1[[#This Row],[QUANTITE]]*Bacacier1[[#This Row],[P.U.]],"")</f>
        <v>0</v>
      </c>
      <c r="J27" s="35" t="str">
        <f>IF(AND(RIGHT(Bacacier1[[#This Row],[INDEX]],3)&lt;&gt;"000",Bacacier1[[#This Row],[INDEX]]&lt;&gt;""),IF(Bacacier1[[#This Row],[PRESTA]]="F","1","1"),"")</f>
        <v>1</v>
      </c>
    </row>
    <row r="28" spans="1:10" ht="11.25" x14ac:dyDescent="0.2">
      <c r="A28" s="18"/>
      <c r="B28" s="19"/>
      <c r="C28" s="13"/>
      <c r="D28" s="14"/>
      <c r="E28" s="14"/>
      <c r="F28" s="15"/>
      <c r="G28" s="16"/>
      <c r="H28" s="20"/>
      <c r="I28" s="29" t="str">
        <f>IF(AND(RIGHT(Bacacier1[[#This Row],[INDEX]],3)&lt;&gt;"000",Bacacier1[[#This Row],[INDEX]]&lt;&gt;""),Bacacier1[[#This Row],[QUANTITE]]*Bacacier1[[#This Row],[P.U.]],"")</f>
        <v/>
      </c>
      <c r="J28" s="22" t="str">
        <f>IF(AND(RIGHT(Bacacier1[[#This Row],[INDEX]],3)&lt;&gt;"000",Bacacier1[[#This Row],[INDEX]]&lt;&gt;""),IF(Bacacier1[[#This Row],[PRESTA]]="F","1","1"),"")</f>
        <v/>
      </c>
    </row>
    <row r="29" spans="1:10" ht="18" customHeight="1" x14ac:dyDescent="0.2">
      <c r="C29" s="1"/>
      <c r="D29" s="1"/>
      <c r="E29" s="1"/>
      <c r="F29" s="1"/>
      <c r="G29" s="1"/>
      <c r="H29" s="1"/>
      <c r="I29" s="1"/>
      <c r="J29" s="1"/>
    </row>
    <row r="30" spans="1:10" ht="18" customHeight="1" x14ac:dyDescent="0.2">
      <c r="C30" s="56" t="s">
        <v>2</v>
      </c>
      <c r="D30" s="1"/>
      <c r="E30" s="1"/>
      <c r="F30" s="37"/>
      <c r="G30" s="5" t="s">
        <v>57</v>
      </c>
      <c r="H30" s="6"/>
      <c r="I30" s="105">
        <f>SUM(Bacacier1[TOTAL H.T.])</f>
        <v>0</v>
      </c>
      <c r="J30" s="106"/>
    </row>
    <row r="31" spans="1:10" ht="18" customHeight="1" x14ac:dyDescent="0.2">
      <c r="C31" s="4" t="s">
        <v>1</v>
      </c>
      <c r="D31" s="1"/>
      <c r="E31" s="1"/>
      <c r="F31" s="37"/>
      <c r="G31" s="7" t="s">
        <v>59</v>
      </c>
      <c r="H31" s="8"/>
      <c r="I31" s="107">
        <f>SUMIF(Bacacier1[TVA],"1",Bacacier1[TOTAL H.T.])*20%</f>
        <v>0</v>
      </c>
      <c r="J31" s="108"/>
    </row>
    <row r="32" spans="1:10" ht="18" customHeight="1" x14ac:dyDescent="0.2">
      <c r="C32" s="1"/>
      <c r="D32" s="1"/>
      <c r="E32" s="1"/>
      <c r="F32" s="37"/>
      <c r="G32" s="7" t="s">
        <v>60</v>
      </c>
      <c r="H32" s="9"/>
      <c r="I32" s="107">
        <f>SUMIF(Bacacier1[TVA],"2",Bacacier1[TOTAL H.T.])*10%</f>
        <v>0</v>
      </c>
      <c r="J32" s="108"/>
    </row>
    <row r="33" spans="3:10" ht="18" customHeight="1" x14ac:dyDescent="0.2">
      <c r="C33" s="1"/>
      <c r="D33" s="1"/>
      <c r="E33" s="1"/>
      <c r="F33" s="37"/>
      <c r="G33" s="7" t="s">
        <v>61</v>
      </c>
      <c r="H33" s="9"/>
      <c r="I33" s="107">
        <f>SUMIF(Bacacier1[TVA],"3",Bacacier1[TOTAL H.T.])*5.5%</f>
        <v>0</v>
      </c>
      <c r="J33" s="108"/>
    </row>
    <row r="34" spans="3:10" ht="18" customHeight="1" x14ac:dyDescent="0.2">
      <c r="C34" s="1"/>
      <c r="D34" s="1"/>
      <c r="E34" s="1"/>
      <c r="F34" s="37"/>
      <c r="G34" s="10" t="s">
        <v>58</v>
      </c>
      <c r="H34" s="11"/>
      <c r="I34" s="100">
        <f>SUM(I30:I33)</f>
        <v>0</v>
      </c>
      <c r="J34" s="101"/>
    </row>
  </sheetData>
  <sheetProtection sheet="1" objects="1" scenarios="1" insertRows="0" deleteRows="0" selectLockedCells="1"/>
  <dataConsolidate/>
  <mergeCells count="7">
    <mergeCell ref="I34:J34"/>
    <mergeCell ref="C10:J10"/>
    <mergeCell ref="C11:J11"/>
    <mergeCell ref="I30:J30"/>
    <mergeCell ref="I31:J31"/>
    <mergeCell ref="I32:J32"/>
    <mergeCell ref="I33:J33"/>
  </mergeCells>
  <conditionalFormatting sqref="B14:B28">
    <cfRule type="cellIs" dxfId="49" priority="7" operator="equal">
      <formula>"F"</formula>
    </cfRule>
    <cfRule type="cellIs" dxfId="48" priority="8" operator="equal">
      <formula>"F &amp; P"</formula>
    </cfRule>
  </conditionalFormatting>
  <conditionalFormatting sqref="A28:G28 A14:D14 F14:F27 A16:D16 A15:B15 D15 A18:D18 A17:B17 D17 A20:D20 A19:B19 D19 A25:D25 A21:B24 D21:D24 A26:B27 D26:D27">
    <cfRule type="expression" dxfId="47" priority="6">
      <formula>RIGHT($A14,3)="000"</formula>
    </cfRule>
  </conditionalFormatting>
  <conditionalFormatting sqref="C15">
    <cfRule type="expression" dxfId="46" priority="5">
      <formula>RIGHT($A15,3)="000"</formula>
    </cfRule>
  </conditionalFormatting>
  <conditionalFormatting sqref="C17">
    <cfRule type="expression" dxfId="45" priority="4">
      <formula>RIGHT($A17,3)="000"</formula>
    </cfRule>
  </conditionalFormatting>
  <conditionalFormatting sqref="C19">
    <cfRule type="expression" dxfId="44" priority="3">
      <formula>RIGHT($A19,3)="000"</formula>
    </cfRule>
  </conditionalFormatting>
  <conditionalFormatting sqref="C21:C24">
    <cfRule type="expression" dxfId="43" priority="2">
      <formula>RIGHT($A21,3)="000"</formula>
    </cfRule>
  </conditionalFormatting>
  <conditionalFormatting sqref="C26:C27">
    <cfRule type="expression" dxfId="42" priority="1">
      <formula>RIGHT($A26,3)="000"</formula>
    </cfRule>
  </conditionalFormatting>
  <dataValidations count="5">
    <dataValidation type="list" allowBlank="1" showInputMessage="1" showErrorMessage="1" errorTitle="Erreur choix" error="La prestation choisie n'existe pas !" promptTitle="Choix de la prestation" prompt="F &amp; P = Fourniture et pose_x000a_F = Fourniture seule" sqref="B14:B28">
      <formula1>"F &amp; P,F"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28">
      <formula1>"1,2,3"</formula1>
    </dataValidation>
    <dataValidation type="custom" allowBlank="1" showErrorMessage="1" errorTitle="Erreur de saisie" error="Veuillez saisir le nom en majuscules et sans symbole &quot;/&quot;" sqref="C10:J10">
      <formula1>EXACT(C10,UPPER(C10))</formula1>
    </dataValidation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28">
      <formula1>"U,ens,ml,m²,m³,Fo,Kg,T"</formula1>
    </dataValidation>
    <dataValidation allowBlank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G14:H28"/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0945" r:id="rId4" name="Mode">
          <controlPr defaultSize="0" print="0" autoLine="0" r:id="rId5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10945" r:id="rId4" name="Mode"/>
      </mc:Fallback>
    </mc:AlternateContent>
    <mc:AlternateContent xmlns:mc="http://schemas.openxmlformats.org/markup-compatibility/2006">
      <mc:Choice Requires="x14">
        <control shapeId="210946" r:id="rId6" name="Presta">
          <controlPr defaultSize="0" print="0" disabled="1" autoLine="0" r:id="rId7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10946" r:id="rId6" name="Presta"/>
      </mc:Fallback>
    </mc:AlternateContent>
    <mc:AlternateContent xmlns:mc="http://schemas.openxmlformats.org/markup-compatibility/2006">
      <mc:Choice Requires="x14">
        <control shapeId="210947" r:id="rId8" name="PlusValue">
          <controlPr defaultSize="0" print="0" disabled="1" autoLine="0" r:id="rId9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10947" r:id="rId8" name="PlusValue"/>
      </mc:Fallback>
    </mc:AlternateContent>
    <mc:AlternateContent xmlns:mc="http://schemas.openxmlformats.org/markup-compatibility/2006">
      <mc:Choice Requires="x14">
        <control shapeId="210948" r:id="rId10" name="TauxPlusValue">
          <controlPr defaultSize="0" print="0" disabled="1" autoLine="0" r:id="rId11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10948" r:id="rId10" name="TauxPlusValue"/>
      </mc:Fallback>
    </mc:AlternateContent>
  </controls>
  <tableParts count="1">
    <tablePart r:id="rId1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666699"/>
  </sheetPr>
  <dimension ref="A1:P50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45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1.25" x14ac:dyDescent="0.2">
      <c r="A14" s="18" t="s">
        <v>100</v>
      </c>
      <c r="B14" s="19"/>
      <c r="C14" s="13">
        <v>1</v>
      </c>
      <c r="D14" s="14" t="s">
        <v>95</v>
      </c>
      <c r="E14" s="34"/>
      <c r="F14" s="15"/>
      <c r="G14" s="16"/>
      <c r="H14" s="20"/>
      <c r="I14" s="20" t="str">
        <f>IF(AND(RIGHT(Etancheite1[[#This Row],[INDEX]],3)&lt;&gt;"000",Etancheite1[[#This Row],[INDEX]]&lt;&gt;""),Etancheite1[[#This Row],[QUANTITE]]*Etancheite1[[#This Row],[P.U.]],"")</f>
        <v/>
      </c>
      <c r="J14" s="35" t="str">
        <f>IF(AND(RIGHT(Etancheite1[[#This Row],[INDEX]],3)&lt;&gt;"000",Etancheite1[[#This Row],[INDEX]]&lt;&gt;""),IF(Etancheite1[[#This Row],[PRESTA]]="F","1","1"),"")</f>
        <v/>
      </c>
    </row>
    <row r="15" spans="1:16" s="33" customFormat="1" ht="78.75" x14ac:dyDescent="0.2">
      <c r="A15" s="18" t="s">
        <v>101</v>
      </c>
      <c r="B15" s="19" t="s">
        <v>52</v>
      </c>
      <c r="C15" s="13" t="str">
        <f>C$14&amp;"."&amp;COUNTA(C$14:C14)</f>
        <v>1.1</v>
      </c>
      <c r="D15" s="17" t="s">
        <v>184</v>
      </c>
      <c r="E15" s="34"/>
      <c r="F15" s="15" t="s">
        <v>6</v>
      </c>
      <c r="G15" s="16"/>
      <c r="H15" s="20">
        <v>173.73</v>
      </c>
      <c r="I15" s="20">
        <f>IF(AND(RIGHT(Etancheite1[[#This Row],[INDEX]],3)&lt;&gt;"000",Etancheite1[[#This Row],[INDEX]]&lt;&gt;""),Etancheite1[[#This Row],[QUANTITE]]*Etancheite1[[#This Row],[P.U.]],"")</f>
        <v>0</v>
      </c>
      <c r="J15" s="35" t="str">
        <f>IF(AND(RIGHT(Etancheite1[[#This Row],[INDEX]],3)&lt;&gt;"000",Etancheite1[[#This Row],[INDEX]]&lt;&gt;""),IF(Etancheite1[[#This Row],[PRESTA]]="F","1","1"),"")</f>
        <v>1</v>
      </c>
    </row>
    <row r="16" spans="1:16" s="33" customFormat="1" ht="11.25" x14ac:dyDescent="0.2">
      <c r="A16" s="18" t="s">
        <v>102</v>
      </c>
      <c r="B16" s="19"/>
      <c r="C16" s="13">
        <v>2</v>
      </c>
      <c r="D16" s="14" t="s">
        <v>96</v>
      </c>
      <c r="E16" s="34"/>
      <c r="F16" s="15"/>
      <c r="G16" s="16"/>
      <c r="H16" s="20"/>
      <c r="I16" s="20" t="str">
        <f>IF(AND(RIGHT(Etancheite1[[#This Row],[INDEX]],3)&lt;&gt;"000",Etancheite1[[#This Row],[INDEX]]&lt;&gt;""),Etancheite1[[#This Row],[QUANTITE]]*Etancheite1[[#This Row],[P.U.]],"")</f>
        <v/>
      </c>
      <c r="J16" s="35" t="str">
        <f>IF(AND(RIGHT(Etancheite1[[#This Row],[INDEX]],3)&lt;&gt;"000",Etancheite1[[#This Row],[INDEX]]&lt;&gt;""),IF(Etancheite1[[#This Row],[PRESTA]]="F","1","1"),"")</f>
        <v/>
      </c>
    </row>
    <row r="17" spans="1:10" s="33" customFormat="1" ht="112.5" x14ac:dyDescent="0.2">
      <c r="A17" s="18" t="s">
        <v>103</v>
      </c>
      <c r="B17" s="19" t="s">
        <v>52</v>
      </c>
      <c r="C17" s="13" t="str">
        <f>C$16&amp;"."&amp;COUNTA(C$16:C16)</f>
        <v>2.1</v>
      </c>
      <c r="D17" s="17" t="s">
        <v>185</v>
      </c>
      <c r="E17" s="34"/>
      <c r="F17" s="15" t="s">
        <v>4</v>
      </c>
      <c r="G17" s="16">
        <f>SUM(G18:G19)</f>
        <v>0</v>
      </c>
      <c r="H17" s="20">
        <f>IF(G17=0,0,IF(G17&lt;20,44.32,IF(G17&lt;50,41.67,IF(G17&lt;100,38.14,36.8))))</f>
        <v>0</v>
      </c>
      <c r="I17" s="20">
        <f>IF(AND(RIGHT(Etancheite1[[#This Row],[INDEX]],3)&lt;&gt;"000",Etancheite1[[#This Row],[INDEX]]&lt;&gt;""),Etancheite1[[#This Row],[QUANTITE]]*Etancheite1[[#This Row],[P.U.]],"")</f>
        <v>0</v>
      </c>
      <c r="J17" s="35" t="str">
        <f>IF(AND(RIGHT(Etancheite1[[#This Row],[INDEX]],3)&lt;&gt;"000",Etancheite1[[#This Row],[INDEX]]&lt;&gt;""),IF(Etancheite1[[#This Row],[PRESTA]]="F","1","1"),"")</f>
        <v>1</v>
      </c>
    </row>
    <row r="18" spans="1:10" s="33" customFormat="1" ht="11.25" x14ac:dyDescent="0.2">
      <c r="A18" s="18"/>
      <c r="B18" s="19"/>
      <c r="C18" s="51"/>
      <c r="D18" s="42" t="s">
        <v>207</v>
      </c>
      <c r="E18" s="38"/>
      <c r="F18" s="39" t="s">
        <v>4</v>
      </c>
      <c r="G18" s="40"/>
      <c r="H18" s="20"/>
      <c r="I18" s="20" t="str">
        <f>IF(AND(RIGHT(Etancheite1[[#This Row],[INDEX]],3)&lt;&gt;"000",Etancheite1[[#This Row],[INDEX]]&lt;&gt;""),Etancheite1[[#This Row],[QUANTITE]]*Etancheite1[[#This Row],[P.U.]],"")</f>
        <v/>
      </c>
      <c r="J18" s="35" t="str">
        <f>IF(AND(RIGHT(Etancheite1[[#This Row],[INDEX]],3)&lt;&gt;"000",Etancheite1[[#This Row],[INDEX]]&lt;&gt;""),IF(Etancheite1[[#This Row],[PRESTA]]="F","1","1"),"")</f>
        <v/>
      </c>
    </row>
    <row r="19" spans="1:10" s="33" customFormat="1" ht="22.5" x14ac:dyDescent="0.2">
      <c r="A19" s="18"/>
      <c r="B19" s="19"/>
      <c r="C19" s="51"/>
      <c r="D19" s="49" t="s">
        <v>208</v>
      </c>
      <c r="E19" s="38"/>
      <c r="F19" s="39" t="s">
        <v>4</v>
      </c>
      <c r="G19" s="40"/>
      <c r="H19" s="20"/>
      <c r="I19" s="20" t="str">
        <f>IF(AND(RIGHT(Etancheite1[[#This Row],[INDEX]],3)&lt;&gt;"000",Etancheite1[[#This Row],[INDEX]]&lt;&gt;""),Etancheite1[[#This Row],[QUANTITE]]*Etancheite1[[#This Row],[P.U.]],"")</f>
        <v/>
      </c>
      <c r="J19" s="35" t="str">
        <f>IF(AND(RIGHT(Etancheite1[[#This Row],[INDEX]],3)&lt;&gt;"000",Etancheite1[[#This Row],[INDEX]]&lt;&gt;""),IF(Etancheite1[[#This Row],[PRESTA]]="F","1","1"),"")</f>
        <v/>
      </c>
    </row>
    <row r="20" spans="1:10" s="33" customFormat="1" ht="11.25" x14ac:dyDescent="0.2">
      <c r="A20" s="18" t="s">
        <v>104</v>
      </c>
      <c r="B20" s="19"/>
      <c r="C20" s="13">
        <v>3</v>
      </c>
      <c r="D20" s="14" t="s">
        <v>130</v>
      </c>
      <c r="E20" s="34"/>
      <c r="F20" s="15"/>
      <c r="G20" s="16"/>
      <c r="H20" s="20"/>
      <c r="I20" s="20" t="str">
        <f>IF(AND(RIGHT(Etancheite1[[#This Row],[INDEX]],3)&lt;&gt;"000",Etancheite1[[#This Row],[INDEX]]&lt;&gt;""),Etancheite1[[#This Row],[QUANTITE]]*Etancheite1[[#This Row],[P.U.]],"")</f>
        <v/>
      </c>
      <c r="J20" s="35" t="str">
        <f>IF(AND(RIGHT(Etancheite1[[#This Row],[INDEX]],3)&lt;&gt;"000",Etancheite1[[#This Row],[INDEX]]&lt;&gt;""),IF(Etancheite1[[#This Row],[PRESTA]]="F","1","1"),"")</f>
        <v/>
      </c>
    </row>
    <row r="21" spans="1:10" s="33" customFormat="1" ht="67.5" x14ac:dyDescent="0.2">
      <c r="A21" s="18" t="s">
        <v>105</v>
      </c>
      <c r="B21" s="19" t="s">
        <v>52</v>
      </c>
      <c r="C21" s="13" t="str">
        <f>C$20&amp;"."&amp;COUNTA(C$20:C20)</f>
        <v>3.1</v>
      </c>
      <c r="D21" s="17" t="s">
        <v>186</v>
      </c>
      <c r="E21" s="34"/>
      <c r="F21" s="15" t="s">
        <v>5</v>
      </c>
      <c r="G21" s="16">
        <f>SUM(G22:G23)</f>
        <v>0</v>
      </c>
      <c r="H21" s="20">
        <f>IF(G21=0,0,IF(G21&lt;50,31.64,29.43))</f>
        <v>0</v>
      </c>
      <c r="I21" s="20">
        <f>IF(AND(RIGHT(Etancheite1[[#This Row],[INDEX]],3)&lt;&gt;"000",Etancheite1[[#This Row],[INDEX]]&lt;&gt;""),Etancheite1[[#This Row],[QUANTITE]]*Etancheite1[[#This Row],[P.U.]],"")</f>
        <v>0</v>
      </c>
      <c r="J21" s="35" t="str">
        <f>IF(AND(RIGHT(Etancheite1[[#This Row],[INDEX]],3)&lt;&gt;"000",Etancheite1[[#This Row],[INDEX]]&lt;&gt;""),IF(Etancheite1[[#This Row],[PRESTA]]="F","1","1"),"")</f>
        <v>1</v>
      </c>
    </row>
    <row r="22" spans="1:10" s="33" customFormat="1" ht="11.25" x14ac:dyDescent="0.2">
      <c r="A22" s="18"/>
      <c r="B22" s="19"/>
      <c r="C22" s="51"/>
      <c r="D22" s="42" t="str">
        <f>D18</f>
        <v>Zone 1</v>
      </c>
      <c r="E22" s="38"/>
      <c r="F22" s="39" t="s">
        <v>5</v>
      </c>
      <c r="G22" s="40"/>
      <c r="H22" s="20"/>
      <c r="I22" s="20" t="str">
        <f>IF(AND(RIGHT(Etancheite1[[#This Row],[INDEX]],3)&lt;&gt;"000",Etancheite1[[#This Row],[INDEX]]&lt;&gt;""),Etancheite1[[#This Row],[QUANTITE]]*Etancheite1[[#This Row],[P.U.]],"")</f>
        <v/>
      </c>
      <c r="J22" s="35" t="str">
        <f>IF(AND(RIGHT(Etancheite1[[#This Row],[INDEX]],3)&lt;&gt;"000",Etancheite1[[#This Row],[INDEX]]&lt;&gt;""),IF(Etancheite1[[#This Row],[PRESTA]]="F","1","1"),"")</f>
        <v/>
      </c>
    </row>
    <row r="23" spans="1:10" s="33" customFormat="1" ht="11.25" x14ac:dyDescent="0.2">
      <c r="A23" s="18"/>
      <c r="B23" s="19"/>
      <c r="C23" s="51"/>
      <c r="D23" s="42" t="str">
        <f>D19</f>
        <v xml:space="preserve">Zone 2
</v>
      </c>
      <c r="E23" s="38"/>
      <c r="F23" s="39" t="s">
        <v>5</v>
      </c>
      <c r="G23" s="40"/>
      <c r="H23" s="20"/>
      <c r="I23" s="20" t="str">
        <f>IF(AND(RIGHT(Etancheite1[[#This Row],[INDEX]],3)&lt;&gt;"000",Etancheite1[[#This Row],[INDEX]]&lt;&gt;""),Etancheite1[[#This Row],[QUANTITE]]*Etancheite1[[#This Row],[P.U.]],"")</f>
        <v/>
      </c>
      <c r="J23" s="35" t="str">
        <f>IF(AND(RIGHT(Etancheite1[[#This Row],[INDEX]],3)&lt;&gt;"000",Etancheite1[[#This Row],[INDEX]]&lt;&gt;""),IF(Etancheite1[[#This Row],[PRESTA]]="F","1","1"),"")</f>
        <v/>
      </c>
    </row>
    <row r="24" spans="1:10" s="33" customFormat="1" ht="67.5" x14ac:dyDescent="0.2">
      <c r="A24" s="18" t="s">
        <v>106</v>
      </c>
      <c r="B24" s="19" t="s">
        <v>52</v>
      </c>
      <c r="C24" s="13" t="str">
        <f>C$20&amp;"."&amp;COUNTA(C$20:C21)</f>
        <v>3.2</v>
      </c>
      <c r="D24" s="17" t="s">
        <v>187</v>
      </c>
      <c r="E24" s="34"/>
      <c r="F24" s="15" t="s">
        <v>5</v>
      </c>
      <c r="G24" s="16"/>
      <c r="H24" s="20">
        <v>36.96</v>
      </c>
      <c r="I24" s="20">
        <f>IF(AND(RIGHT(Etancheite1[[#This Row],[INDEX]],3)&lt;&gt;"000",Etancheite1[[#This Row],[INDEX]]&lt;&gt;""),Etancheite1[[#This Row],[QUANTITE]]*Etancheite1[[#This Row],[P.U.]],"")</f>
        <v>0</v>
      </c>
      <c r="J24" s="35" t="str">
        <f>IF(AND(RIGHT(Etancheite1[[#This Row],[INDEX]],3)&lt;&gt;"000",Etancheite1[[#This Row],[INDEX]]&lt;&gt;""),IF(Etancheite1[[#This Row],[PRESTA]]="F","1","1"),"")</f>
        <v>1</v>
      </c>
    </row>
    <row r="25" spans="1:10" s="33" customFormat="1" ht="11.25" x14ac:dyDescent="0.2">
      <c r="A25" s="18" t="s">
        <v>107</v>
      </c>
      <c r="B25" s="19"/>
      <c r="C25" s="13">
        <v>4</v>
      </c>
      <c r="D25" s="14" t="s">
        <v>131</v>
      </c>
      <c r="E25" s="34"/>
      <c r="F25" s="15"/>
      <c r="G25" s="16"/>
      <c r="H25" s="20"/>
      <c r="I25" s="20" t="str">
        <f>IF(AND(RIGHT(Etancheite1[[#This Row],[INDEX]],3)&lt;&gt;"000",Etancheite1[[#This Row],[INDEX]]&lt;&gt;""),Etancheite1[[#This Row],[QUANTITE]]*Etancheite1[[#This Row],[P.U.]],"")</f>
        <v/>
      </c>
      <c r="J25" s="35" t="str">
        <f>IF(AND(RIGHT(Etancheite1[[#This Row],[INDEX]],3)&lt;&gt;"000",Etancheite1[[#This Row],[INDEX]]&lt;&gt;""),IF(Etancheite1[[#This Row],[PRESTA]]="F","1","1"),"")</f>
        <v/>
      </c>
    </row>
    <row r="26" spans="1:10" s="33" customFormat="1" ht="45" x14ac:dyDescent="0.2">
      <c r="A26" s="18" t="s">
        <v>108</v>
      </c>
      <c r="B26" s="19" t="s">
        <v>52</v>
      </c>
      <c r="C26" s="13" t="str">
        <f>C$25&amp;"."&amp;COUNTA(C$25:C25)</f>
        <v>4.1</v>
      </c>
      <c r="D26" s="17" t="s">
        <v>188</v>
      </c>
      <c r="E26" s="34"/>
      <c r="F26" s="15" t="s">
        <v>7</v>
      </c>
      <c r="G26" s="16">
        <f>G27</f>
        <v>1</v>
      </c>
      <c r="H26" s="20">
        <v>85</v>
      </c>
      <c r="I26" s="20">
        <f>IF(AND(RIGHT(Etancheite1[[#This Row],[INDEX]],3)&lt;&gt;"000",Etancheite1[[#This Row],[INDEX]]&lt;&gt;""),Etancheite1[[#This Row],[QUANTITE]]*Etancheite1[[#This Row],[P.U.]],"")</f>
        <v>85</v>
      </c>
      <c r="J26" s="35" t="str">
        <f>IF(AND(RIGHT(Etancheite1[[#This Row],[INDEX]],3)&lt;&gt;"000",Etancheite1[[#This Row],[INDEX]]&lt;&gt;""),IF(Etancheite1[[#This Row],[PRESTA]]="F","1","1"),"")</f>
        <v>1</v>
      </c>
    </row>
    <row r="27" spans="1:10" s="33" customFormat="1" ht="11.25" x14ac:dyDescent="0.2">
      <c r="A27" s="18"/>
      <c r="B27" s="19"/>
      <c r="C27" s="51"/>
      <c r="D27" s="42" t="s">
        <v>158</v>
      </c>
      <c r="E27" s="38"/>
      <c r="F27" s="39" t="s">
        <v>7</v>
      </c>
      <c r="G27" s="40">
        <v>1</v>
      </c>
      <c r="H27" s="20"/>
      <c r="I27" s="20" t="str">
        <f>IF(AND(RIGHT(Etancheite1[[#This Row],[INDEX]],3)&lt;&gt;"000",Etancheite1[[#This Row],[INDEX]]&lt;&gt;""),Etancheite1[[#This Row],[QUANTITE]]*Etancheite1[[#This Row],[P.U.]],"")</f>
        <v/>
      </c>
      <c r="J27" s="35" t="str">
        <f>IF(AND(RIGHT(Etancheite1[[#This Row],[INDEX]],3)&lt;&gt;"000",Etancheite1[[#This Row],[INDEX]]&lt;&gt;""),IF(Etancheite1[[#This Row],[PRESTA]]="F","1","1"),"")</f>
        <v/>
      </c>
    </row>
    <row r="28" spans="1:10" s="33" customFormat="1" ht="45" x14ac:dyDescent="0.2">
      <c r="A28" s="18" t="s">
        <v>109</v>
      </c>
      <c r="B28" s="19" t="s">
        <v>52</v>
      </c>
      <c r="C28" s="13" t="str">
        <f>C$25&amp;"."&amp;COUNTA(C$25:C26)</f>
        <v>4.2</v>
      </c>
      <c r="D28" s="17" t="s">
        <v>189</v>
      </c>
      <c r="E28" s="34"/>
      <c r="F28" s="15" t="s">
        <v>7</v>
      </c>
      <c r="G28" s="16" t="e">
        <f>SUM(G29:G31)</f>
        <v>#REF!</v>
      </c>
      <c r="H28" s="20">
        <v>79.2</v>
      </c>
      <c r="I28" s="20" t="e">
        <f>IF(AND(RIGHT(Etancheite1[[#This Row],[INDEX]],3)&lt;&gt;"000",Etancheite1[[#This Row],[INDEX]]&lt;&gt;""),Etancheite1[[#This Row],[QUANTITE]]*Etancheite1[[#This Row],[P.U.]],"")</f>
        <v>#REF!</v>
      </c>
      <c r="J28" s="35" t="str">
        <f>IF(AND(RIGHT(Etancheite1[[#This Row],[INDEX]],3)&lt;&gt;"000",Etancheite1[[#This Row],[INDEX]]&lt;&gt;""),IF(Etancheite1[[#This Row],[PRESTA]]="F","1","1"),"")</f>
        <v>1</v>
      </c>
    </row>
    <row r="29" spans="1:10" s="33" customFormat="1" ht="11.25" x14ac:dyDescent="0.2">
      <c r="A29" s="18"/>
      <c r="B29" s="19"/>
      <c r="C29" s="51"/>
      <c r="D29" s="42" t="s">
        <v>159</v>
      </c>
      <c r="E29" s="38"/>
      <c r="F29" s="39" t="s">
        <v>7</v>
      </c>
      <c r="G29" s="40">
        <v>1</v>
      </c>
      <c r="H29" s="20"/>
      <c r="I29" s="20" t="str">
        <f>IF(AND(RIGHT(Etancheite1[[#This Row],[INDEX]],3)&lt;&gt;"000",Etancheite1[[#This Row],[INDEX]]&lt;&gt;""),Etancheite1[[#This Row],[QUANTITE]]*Etancheite1[[#This Row],[P.U.]],"")</f>
        <v/>
      </c>
      <c r="J29" s="35" t="str">
        <f>IF(AND(RIGHT(Etancheite1[[#This Row],[INDEX]],3)&lt;&gt;"000",Etancheite1[[#This Row],[INDEX]]&lt;&gt;""),IF(Etancheite1[[#This Row],[PRESTA]]="F","1","1"),"")</f>
        <v/>
      </c>
    </row>
    <row r="30" spans="1:10" s="33" customFormat="1" ht="11.25" x14ac:dyDescent="0.2">
      <c r="A30" s="18"/>
      <c r="B30" s="19"/>
      <c r="C30" s="51"/>
      <c r="D30" s="42" t="s">
        <v>160</v>
      </c>
      <c r="E30" s="38"/>
      <c r="F30" s="39" t="s">
        <v>7</v>
      </c>
      <c r="G30" s="40" t="e">
        <f>#REF!</f>
        <v>#REF!</v>
      </c>
      <c r="H30" s="20"/>
      <c r="I30" s="20" t="str">
        <f>IF(AND(RIGHT(Etancheite1[[#This Row],[INDEX]],3)&lt;&gt;"000",Etancheite1[[#This Row],[INDEX]]&lt;&gt;""),Etancheite1[[#This Row],[QUANTITE]]*Etancheite1[[#This Row],[P.U.]],"")</f>
        <v/>
      </c>
      <c r="J30" s="35" t="str">
        <f>IF(AND(RIGHT(Etancheite1[[#This Row],[INDEX]],3)&lt;&gt;"000",Etancheite1[[#This Row],[INDEX]]&lt;&gt;""),IF(Etancheite1[[#This Row],[PRESTA]]="F","1","1"),"")</f>
        <v/>
      </c>
    </row>
    <row r="31" spans="1:10" s="33" customFormat="1" ht="22.5" x14ac:dyDescent="0.2">
      <c r="A31" s="18"/>
      <c r="B31" s="19"/>
      <c r="C31" s="51"/>
      <c r="D31" s="49" t="s">
        <v>161</v>
      </c>
      <c r="E31" s="38"/>
      <c r="F31" s="39" t="s">
        <v>7</v>
      </c>
      <c r="G31" s="40" t="e">
        <f>IF(#REF!="","",2)</f>
        <v>#REF!</v>
      </c>
      <c r="H31" s="20"/>
      <c r="I31" s="20" t="str">
        <f>IF(AND(RIGHT(Etancheite1[[#This Row],[INDEX]],3)&lt;&gt;"000",Etancheite1[[#This Row],[INDEX]]&lt;&gt;""),Etancheite1[[#This Row],[QUANTITE]]*Etancheite1[[#This Row],[P.U.]],"")</f>
        <v/>
      </c>
      <c r="J31" s="35" t="str">
        <f>IF(AND(RIGHT(Etancheite1[[#This Row],[INDEX]],3)&lt;&gt;"000",Etancheite1[[#This Row],[INDEX]]&lt;&gt;""),IF(Etancheite1[[#This Row],[PRESTA]]="F","1","1"),"")</f>
        <v/>
      </c>
    </row>
    <row r="32" spans="1:10" s="33" customFormat="1" ht="11.25" x14ac:dyDescent="0.2">
      <c r="A32" s="18" t="s">
        <v>110</v>
      </c>
      <c r="B32" s="19"/>
      <c r="C32" s="13">
        <v>5</v>
      </c>
      <c r="D32" s="14" t="s">
        <v>132</v>
      </c>
      <c r="E32" s="34"/>
      <c r="F32" s="15"/>
      <c r="G32" s="16"/>
      <c r="H32" s="20"/>
      <c r="I32" s="20" t="str">
        <f>IF(AND(RIGHT(Etancheite1[[#This Row],[INDEX]],3)&lt;&gt;"000",Etancheite1[[#This Row],[INDEX]]&lt;&gt;""),Etancheite1[[#This Row],[QUANTITE]]*Etancheite1[[#This Row],[P.U.]],"")</f>
        <v/>
      </c>
      <c r="J32" s="35" t="str">
        <f>IF(AND(RIGHT(Etancheite1[[#This Row],[INDEX]],3)&lt;&gt;"000",Etancheite1[[#This Row],[INDEX]]&lt;&gt;""),IF(Etancheite1[[#This Row],[PRESTA]]="F","1","1"),"")</f>
        <v/>
      </c>
    </row>
    <row r="33" spans="1:10" s="33" customFormat="1" ht="45" x14ac:dyDescent="0.2">
      <c r="A33" s="18" t="s">
        <v>111</v>
      </c>
      <c r="B33" s="19" t="s">
        <v>52</v>
      </c>
      <c r="C33" s="13" t="str">
        <f>C$32&amp;"."&amp;COUNTA(C$32:C32)</f>
        <v>5.1</v>
      </c>
      <c r="D33" s="17" t="s">
        <v>190</v>
      </c>
      <c r="E33" s="34"/>
      <c r="F33" s="15" t="s">
        <v>5</v>
      </c>
      <c r="G33" s="16">
        <f>SUM(G34:G35)</f>
        <v>0</v>
      </c>
      <c r="H33" s="20">
        <f>IF(G33=0,0,IF(G33&lt;30,39.62,36.08))</f>
        <v>0</v>
      </c>
      <c r="I33" s="20">
        <f>IF(AND(RIGHT(Etancheite1[[#This Row],[INDEX]],3)&lt;&gt;"000",Etancheite1[[#This Row],[INDEX]]&lt;&gt;""),Etancheite1[[#This Row],[QUANTITE]]*Etancheite1[[#This Row],[P.U.]],"")</f>
        <v>0</v>
      </c>
      <c r="J33" s="35" t="str">
        <f>IF(AND(RIGHT(Etancheite1[[#This Row],[INDEX]],3)&lt;&gt;"000",Etancheite1[[#This Row],[INDEX]]&lt;&gt;""),IF(Etancheite1[[#This Row],[PRESTA]]="F","1","1"),"")</f>
        <v>1</v>
      </c>
    </row>
    <row r="34" spans="1:10" s="33" customFormat="1" ht="11.25" x14ac:dyDescent="0.2">
      <c r="A34" s="18"/>
      <c r="B34" s="19"/>
      <c r="C34" s="51"/>
      <c r="D34" s="42" t="str">
        <f>CONCATENATE(D18,", RAL 7016")</f>
        <v>Zone 1, RAL 7016</v>
      </c>
      <c r="E34" s="38"/>
      <c r="F34" s="39" t="s">
        <v>5</v>
      </c>
      <c r="G34" s="40"/>
      <c r="H34" s="20"/>
      <c r="I34" s="20" t="str">
        <f>IF(AND(RIGHT(Etancheite1[[#This Row],[INDEX]],3)&lt;&gt;"000",Etancheite1[[#This Row],[INDEX]]&lt;&gt;""),Etancheite1[[#This Row],[QUANTITE]]*Etancheite1[[#This Row],[P.U.]],"")</f>
        <v/>
      </c>
      <c r="J34" s="35" t="str">
        <f>IF(AND(RIGHT(Etancheite1[[#This Row],[INDEX]],3)&lt;&gt;"000",Etancheite1[[#This Row],[INDEX]]&lt;&gt;""),IF(Etancheite1[[#This Row],[PRESTA]]="F","1","1"),"")</f>
        <v/>
      </c>
    </row>
    <row r="35" spans="1:10" s="33" customFormat="1" ht="11.25" x14ac:dyDescent="0.2">
      <c r="A35" s="18"/>
      <c r="B35" s="19"/>
      <c r="C35" s="51"/>
      <c r="D35" s="42" t="str">
        <f>CONCATENATE(D19,", RAL 7016")</f>
        <v>Zone 2
, RAL 7016</v>
      </c>
      <c r="E35" s="38"/>
      <c r="F35" s="39" t="s">
        <v>5</v>
      </c>
      <c r="G35" s="40"/>
      <c r="H35" s="20"/>
      <c r="I35" s="20" t="str">
        <f>IF(AND(RIGHT(Etancheite1[[#This Row],[INDEX]],3)&lt;&gt;"000",Etancheite1[[#This Row],[INDEX]]&lt;&gt;""),Etancheite1[[#This Row],[QUANTITE]]*Etancheite1[[#This Row],[P.U.]],"")</f>
        <v/>
      </c>
      <c r="J35" s="35" t="str">
        <f>IF(AND(RIGHT(Etancheite1[[#This Row],[INDEX]],3)&lt;&gt;"000",Etancheite1[[#This Row],[INDEX]]&lt;&gt;""),IF(Etancheite1[[#This Row],[PRESTA]]="F","1","1"),"")</f>
        <v/>
      </c>
    </row>
    <row r="36" spans="1:10" s="33" customFormat="1" ht="67.5" x14ac:dyDescent="0.2">
      <c r="A36" s="18" t="s">
        <v>112</v>
      </c>
      <c r="B36" s="19" t="s">
        <v>52</v>
      </c>
      <c r="C36" s="13" t="str">
        <f>C$32&amp;"."&amp;COUNTA(C$32:C33)</f>
        <v>5.2</v>
      </c>
      <c r="D36" s="17" t="s">
        <v>191</v>
      </c>
      <c r="E36" s="34"/>
      <c r="F36" s="15" t="s">
        <v>5</v>
      </c>
      <c r="G36" s="16" t="e">
        <f>#REF!</f>
        <v>#REF!</v>
      </c>
      <c r="H36" s="20">
        <v>19.649999999999999</v>
      </c>
      <c r="I36" s="20" t="e">
        <f>IF(AND(RIGHT(Etancheite1[[#This Row],[INDEX]],3)&lt;&gt;"000",Etancheite1[[#This Row],[INDEX]]&lt;&gt;""),Etancheite1[[#This Row],[QUANTITE]]*Etancheite1[[#This Row],[P.U.]],"")</f>
        <v>#REF!</v>
      </c>
      <c r="J36" s="35" t="str">
        <f>IF(AND(RIGHT(Etancheite1[[#This Row],[INDEX]],3)&lt;&gt;"000",Etancheite1[[#This Row],[INDEX]]&lt;&gt;""),IF(Etancheite1[[#This Row],[PRESTA]]="F","1","1"),"")</f>
        <v>1</v>
      </c>
    </row>
    <row r="37" spans="1:10" s="33" customFormat="1" ht="11.25" x14ac:dyDescent="0.2">
      <c r="A37" s="18" t="s">
        <v>113</v>
      </c>
      <c r="B37" s="19"/>
      <c r="C37" s="13">
        <v>6</v>
      </c>
      <c r="D37" s="14" t="s">
        <v>133</v>
      </c>
      <c r="E37" s="34"/>
      <c r="F37" s="15"/>
      <c r="G37" s="16"/>
      <c r="H37" s="20"/>
      <c r="I37" s="20" t="str">
        <f>IF(AND(RIGHT(Etancheite1[[#This Row],[INDEX]],3)&lt;&gt;"000",Etancheite1[[#This Row],[INDEX]]&lt;&gt;""),Etancheite1[[#This Row],[QUANTITE]]*Etancheite1[[#This Row],[P.U.]],"")</f>
        <v/>
      </c>
      <c r="J37" s="35" t="str">
        <f>IF(AND(RIGHT(Etancheite1[[#This Row],[INDEX]],3)&lt;&gt;"000",Etancheite1[[#This Row],[INDEX]]&lt;&gt;""),IF(Etancheite1[[#This Row],[PRESTA]]="F","1","1"),"")</f>
        <v/>
      </c>
    </row>
    <row r="38" spans="1:10" s="33" customFormat="1" ht="78.75" x14ac:dyDescent="0.2">
      <c r="A38" s="18" t="s">
        <v>114</v>
      </c>
      <c r="B38" s="19" t="s">
        <v>52</v>
      </c>
      <c r="C38" s="13" t="str">
        <f>C$37&amp;"."&amp;COUNTA(C$37:C37)</f>
        <v>6.1</v>
      </c>
      <c r="D38" s="17" t="s">
        <v>192</v>
      </c>
      <c r="E38" s="34"/>
      <c r="F38" s="15" t="s">
        <v>7</v>
      </c>
      <c r="G38" s="16"/>
      <c r="H38" s="20">
        <v>97.71</v>
      </c>
      <c r="I38" s="20">
        <f>IF(AND(RIGHT(Etancheite1[[#This Row],[INDEX]],3)&lt;&gt;"000",Etancheite1[[#This Row],[INDEX]]&lt;&gt;""),Etancheite1[[#This Row],[QUANTITE]]*Etancheite1[[#This Row],[P.U.]],"")</f>
        <v>0</v>
      </c>
      <c r="J38" s="35" t="str">
        <f>IF(AND(RIGHT(Etancheite1[[#This Row],[INDEX]],3)&lt;&gt;"000",Etancheite1[[#This Row],[INDEX]]&lt;&gt;""),IF(Etancheite1[[#This Row],[PRESTA]]="F","1","1"),"")</f>
        <v>1</v>
      </c>
    </row>
    <row r="39" spans="1:10" s="33" customFormat="1" ht="67.5" x14ac:dyDescent="0.2">
      <c r="A39" s="18" t="s">
        <v>115</v>
      </c>
      <c r="B39" s="19" t="s">
        <v>52</v>
      </c>
      <c r="C39" s="13" t="str">
        <f>C$37&amp;"."&amp;COUNTA(C$37:C38)</f>
        <v>6.2</v>
      </c>
      <c r="D39" s="17" t="s">
        <v>193</v>
      </c>
      <c r="E39" s="34"/>
      <c r="F39" s="15" t="s">
        <v>7</v>
      </c>
      <c r="G39" s="16">
        <f>G38</f>
        <v>0</v>
      </c>
      <c r="H39" s="20">
        <v>70.92</v>
      </c>
      <c r="I39" s="20">
        <f>IF(AND(RIGHT(Etancheite1[[#This Row],[INDEX]],3)&lt;&gt;"000",Etancheite1[[#This Row],[INDEX]]&lt;&gt;""),Etancheite1[[#This Row],[QUANTITE]]*Etancheite1[[#This Row],[P.U.]],"")</f>
        <v>0</v>
      </c>
      <c r="J39" s="35" t="str">
        <f>IF(AND(RIGHT(Etancheite1[[#This Row],[INDEX]],3)&lt;&gt;"000",Etancheite1[[#This Row],[INDEX]]&lt;&gt;""),IF(Etancheite1[[#This Row],[PRESTA]]="F","1","1"),"")</f>
        <v>1</v>
      </c>
    </row>
    <row r="40" spans="1:10" s="33" customFormat="1" ht="67.5" x14ac:dyDescent="0.2">
      <c r="A40" s="18" t="s">
        <v>116</v>
      </c>
      <c r="B40" s="19" t="s">
        <v>52</v>
      </c>
      <c r="C40" s="13" t="str">
        <f>C$37&amp;"."&amp;COUNTA(C$37:C39)</f>
        <v>6.3</v>
      </c>
      <c r="D40" s="17" t="s">
        <v>194</v>
      </c>
      <c r="E40" s="34"/>
      <c r="F40" s="15" t="s">
        <v>7</v>
      </c>
      <c r="G40" s="16"/>
      <c r="H40" s="20">
        <v>135</v>
      </c>
      <c r="I40" s="20">
        <f>IF(AND(RIGHT(Etancheite1[[#This Row],[INDEX]],3)&lt;&gt;"000",Etancheite1[[#This Row],[INDEX]]&lt;&gt;""),Etancheite1[[#This Row],[QUANTITE]]*Etancheite1[[#This Row],[P.U.]],"")</f>
        <v>0</v>
      </c>
      <c r="J40" s="35" t="str">
        <f>IF(AND(RIGHT(Etancheite1[[#This Row],[INDEX]],3)&lt;&gt;"000",Etancheite1[[#This Row],[INDEX]]&lt;&gt;""),IF(Etancheite1[[#This Row],[PRESTA]]="F","1","1"),"")</f>
        <v>1</v>
      </c>
    </row>
    <row r="41" spans="1:10" s="33" customFormat="1" ht="56.25" x14ac:dyDescent="0.2">
      <c r="A41" s="18" t="s">
        <v>117</v>
      </c>
      <c r="B41" s="19" t="s">
        <v>52</v>
      </c>
      <c r="C41" s="13" t="str">
        <f>C$37&amp;"."&amp;COUNTA(C$37:C40)</f>
        <v>6.4</v>
      </c>
      <c r="D41" s="17" t="s">
        <v>195</v>
      </c>
      <c r="E41" s="34"/>
      <c r="F41" s="15" t="s">
        <v>7</v>
      </c>
      <c r="G41" s="16"/>
      <c r="H41" s="20">
        <v>120</v>
      </c>
      <c r="I41" s="20">
        <f>IF(AND(RIGHT(Etancheite1[[#This Row],[INDEX]],3)&lt;&gt;"000",Etancheite1[[#This Row],[INDEX]]&lt;&gt;""),Etancheite1[[#This Row],[QUANTITE]]*Etancheite1[[#This Row],[P.U.]],"")</f>
        <v>0</v>
      </c>
      <c r="J41" s="35" t="str">
        <f>IF(AND(RIGHT(Etancheite1[[#This Row],[INDEX]],3)&lt;&gt;"000",Etancheite1[[#This Row],[INDEX]]&lt;&gt;""),IF(Etancheite1[[#This Row],[PRESTA]]="F","1","1"),"")</f>
        <v>1</v>
      </c>
    </row>
    <row r="42" spans="1:10" s="33" customFormat="1" ht="78.75" x14ac:dyDescent="0.2">
      <c r="A42" s="18" t="s">
        <v>118</v>
      </c>
      <c r="B42" s="19" t="s">
        <v>52</v>
      </c>
      <c r="C42" s="13" t="str">
        <f>C$37&amp;"."&amp;COUNTA(C$37:C41)</f>
        <v>6.5</v>
      </c>
      <c r="D42" s="17" t="s">
        <v>196</v>
      </c>
      <c r="E42" s="34"/>
      <c r="F42" s="15" t="s">
        <v>7</v>
      </c>
      <c r="G42" s="16">
        <f>G40</f>
        <v>0</v>
      </c>
      <c r="H42" s="20">
        <v>90</v>
      </c>
      <c r="I42" s="20">
        <f>IF(AND(RIGHT(Etancheite1[[#This Row],[INDEX]],3)&lt;&gt;"000",Etancheite1[[#This Row],[INDEX]]&lt;&gt;""),Etancheite1[[#This Row],[QUANTITE]]*Etancheite1[[#This Row],[P.U.]],"")</f>
        <v>0</v>
      </c>
      <c r="J42" s="35" t="str">
        <f>IF(AND(RIGHT(Etancheite1[[#This Row],[INDEX]],3)&lt;&gt;"000",Etancheite1[[#This Row],[INDEX]]&lt;&gt;""),IF(Etancheite1[[#This Row],[PRESTA]]="F","1","1"),"")</f>
        <v>1</v>
      </c>
    </row>
    <row r="43" spans="1:10" s="33" customFormat="1" ht="78.75" x14ac:dyDescent="0.2">
      <c r="A43" s="18" t="s">
        <v>119</v>
      </c>
      <c r="B43" s="19" t="s">
        <v>52</v>
      </c>
      <c r="C43" s="13" t="str">
        <f>C$37&amp;"."&amp;COUNTA(C$37:C42)</f>
        <v>6.6</v>
      </c>
      <c r="D43" s="17" t="s">
        <v>197</v>
      </c>
      <c r="E43" s="34"/>
      <c r="F43" s="15" t="s">
        <v>7</v>
      </c>
      <c r="G43" s="16"/>
      <c r="H43" s="20">
        <v>132.75</v>
      </c>
      <c r="I43" s="20">
        <f>IF(AND(RIGHT(Etancheite1[[#This Row],[INDEX]],3)&lt;&gt;"000",Etancheite1[[#This Row],[INDEX]]&lt;&gt;""),Etancheite1[[#This Row],[QUANTITE]]*Etancheite1[[#This Row],[P.U.]],"")</f>
        <v>0</v>
      </c>
      <c r="J43" s="35" t="str">
        <f>IF(AND(RIGHT(Etancheite1[[#This Row],[INDEX]],3)&lt;&gt;"000",Etancheite1[[#This Row],[INDEX]]&lt;&gt;""),IF(Etancheite1[[#This Row],[PRESTA]]="F","1","1"),"")</f>
        <v>1</v>
      </c>
    </row>
    <row r="44" spans="1:10" ht="11.25" x14ac:dyDescent="0.2">
      <c r="A44" s="18"/>
      <c r="B44" s="19"/>
      <c r="C44" s="13"/>
      <c r="D44" s="14"/>
      <c r="E44" s="14"/>
      <c r="F44" s="15"/>
      <c r="G44" s="16"/>
      <c r="H44" s="20"/>
      <c r="I44" s="29" t="str">
        <f>IF(AND(RIGHT(Etancheite1[[#This Row],[INDEX]],3)&lt;&gt;"000",Etancheite1[[#This Row],[INDEX]]&lt;&gt;""),Etancheite1[[#This Row],[QUANTITE]]*Etancheite1[[#This Row],[P.U.]],"")</f>
        <v/>
      </c>
      <c r="J44" s="22" t="str">
        <f>IF(AND(RIGHT(Etancheite1[[#This Row],[INDEX]],3)&lt;&gt;"000",Etancheite1[[#This Row],[INDEX]]&lt;&gt;""),IF(Etancheite1[[#This Row],[PRESTA]]="F","1","1"),"")</f>
        <v/>
      </c>
    </row>
    <row r="45" spans="1:10" ht="18" customHeight="1" x14ac:dyDescent="0.2">
      <c r="C45" s="1"/>
      <c r="D45" s="1"/>
      <c r="E45" s="1"/>
      <c r="F45" s="1"/>
      <c r="G45" s="1"/>
      <c r="H45" s="1"/>
      <c r="I45" s="1"/>
      <c r="J45" s="1"/>
    </row>
    <row r="46" spans="1:10" ht="18" customHeight="1" x14ac:dyDescent="0.2">
      <c r="C46" s="56" t="s">
        <v>2</v>
      </c>
      <c r="D46" s="1"/>
      <c r="E46" s="1"/>
      <c r="F46" s="37"/>
      <c r="G46" s="5" t="s">
        <v>57</v>
      </c>
      <c r="H46" s="6"/>
      <c r="I46" s="105" t="e">
        <f>SUM(Etancheite1[TOTAL H.T.])</f>
        <v>#REF!</v>
      </c>
      <c r="J46" s="106"/>
    </row>
    <row r="47" spans="1:10" ht="18" customHeight="1" x14ac:dyDescent="0.2">
      <c r="C47" s="4" t="s">
        <v>1</v>
      </c>
      <c r="D47" s="1"/>
      <c r="E47" s="1"/>
      <c r="F47" s="37"/>
      <c r="G47" s="7" t="s">
        <v>59</v>
      </c>
      <c r="H47" s="8"/>
      <c r="I47" s="107" t="e">
        <f>SUMIF(Etancheite1[TVA],"1",Etancheite1[TOTAL H.T.])*20%</f>
        <v>#REF!</v>
      </c>
      <c r="J47" s="108"/>
    </row>
    <row r="48" spans="1:10" ht="18" customHeight="1" x14ac:dyDescent="0.2">
      <c r="C48" s="1"/>
      <c r="D48" s="1"/>
      <c r="E48" s="1"/>
      <c r="F48" s="37"/>
      <c r="G48" s="7" t="s">
        <v>60</v>
      </c>
      <c r="H48" s="9"/>
      <c r="I48" s="107">
        <f>SUMIF(Etancheite1[TVA],"2",Etancheite1[TOTAL H.T.])*10%</f>
        <v>0</v>
      </c>
      <c r="J48" s="108"/>
    </row>
    <row r="49" spans="3:10" ht="18" customHeight="1" x14ac:dyDescent="0.2">
      <c r="C49" s="1"/>
      <c r="D49" s="1"/>
      <c r="E49" s="1"/>
      <c r="F49" s="37"/>
      <c r="G49" s="7" t="s">
        <v>61</v>
      </c>
      <c r="H49" s="9"/>
      <c r="I49" s="107">
        <f>SUMIF(Etancheite1[TVA],"3",Etancheite1[TOTAL H.T.])*5.5%</f>
        <v>0</v>
      </c>
      <c r="J49" s="108"/>
    </row>
    <row r="50" spans="3:10" ht="18" customHeight="1" x14ac:dyDescent="0.2">
      <c r="C50" s="1"/>
      <c r="D50" s="1"/>
      <c r="E50" s="1"/>
      <c r="F50" s="37"/>
      <c r="G50" s="10" t="s">
        <v>58</v>
      </c>
      <c r="H50" s="11"/>
      <c r="I50" s="100" t="e">
        <f>SUM(I46:I49)</f>
        <v>#REF!</v>
      </c>
      <c r="J50" s="101"/>
    </row>
  </sheetData>
  <sheetProtection sheet="1" objects="1" scenarios="1" insertRows="0" deleteRows="0" selectLockedCells="1"/>
  <dataConsolidate/>
  <mergeCells count="7">
    <mergeCell ref="I50:J50"/>
    <mergeCell ref="C10:J10"/>
    <mergeCell ref="C11:J11"/>
    <mergeCell ref="I46:J46"/>
    <mergeCell ref="I47:J47"/>
    <mergeCell ref="I48:J48"/>
    <mergeCell ref="I49:J49"/>
  </mergeCells>
  <conditionalFormatting sqref="B14:B44">
    <cfRule type="cellIs" dxfId="41" priority="13" operator="equal">
      <formula>"F"</formula>
    </cfRule>
    <cfRule type="cellIs" dxfId="40" priority="14" operator="equal">
      <formula>"F &amp; P"</formula>
    </cfRule>
  </conditionalFormatting>
  <conditionalFormatting sqref="A14:H14 A16:H16 A15:B15 D15:H15 A17:B19 D17:H17 A20:H21 A32:H33 A29:C31 H29:H31 A28:H28 A27:C27 H27 H18:H19 A24:H26 A22:C23 H22:H23 A36:H44 A34:C35 H34:H35">
    <cfRule type="expression" dxfId="39" priority="12">
      <formula>RIGHT($A14,3)="000"</formula>
    </cfRule>
  </conditionalFormatting>
  <conditionalFormatting sqref="C15">
    <cfRule type="expression" dxfId="38" priority="11">
      <formula>RIGHT($A15,3)="000"</formula>
    </cfRule>
  </conditionalFormatting>
  <conditionalFormatting sqref="C17:C19">
    <cfRule type="expression" dxfId="37" priority="10">
      <formula>RIGHT($A17,3)="000"</formula>
    </cfRule>
  </conditionalFormatting>
  <conditionalFormatting sqref="D27:G27">
    <cfRule type="expression" dxfId="36" priority="5">
      <formula>RIGHT($A27,3)="000"</formula>
    </cfRule>
  </conditionalFormatting>
  <conditionalFormatting sqref="D29:G31">
    <cfRule type="expression" dxfId="35" priority="4">
      <formula>RIGHT($A29,3)="000"</formula>
    </cfRule>
  </conditionalFormatting>
  <conditionalFormatting sqref="D18:G19">
    <cfRule type="expression" dxfId="34" priority="3">
      <formula>RIGHT($A18,3)="000"</formula>
    </cfRule>
  </conditionalFormatting>
  <conditionalFormatting sqref="D22:G23">
    <cfRule type="expression" dxfId="33" priority="2">
      <formula>RIGHT($A22,3)="000"</formula>
    </cfRule>
  </conditionalFormatting>
  <conditionalFormatting sqref="D34:G35">
    <cfRule type="expression" dxfId="32" priority="1">
      <formula>RIGHT($A34,3)="000"</formula>
    </cfRule>
  </conditionalFormatting>
  <dataValidations count="4"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44">
      <formula1>"U,ens,ml,m²,m³,Fo,Kg,T"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:B44">
      <formula1>"F &amp; P,F"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44">
      <formula1>"1,2,3"</formula1>
    </dataValidation>
    <dataValidation type="custom" allowBlank="1" showErrorMessage="1" errorTitle="Erreur de saisie" error="Veuillez saisir le nom en majuscules et sans symbole &quot;/&quot;" sqref="C10:J10">
      <formula1>EXACT(C10,UPPER(C10))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4017" r:id="rId4" name="Mode">
          <controlPr defaultSize="0" print="0" autoLine="0" r:id="rId5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14017" r:id="rId4" name="Mode"/>
      </mc:Fallback>
    </mc:AlternateContent>
    <mc:AlternateContent xmlns:mc="http://schemas.openxmlformats.org/markup-compatibility/2006">
      <mc:Choice Requires="x14">
        <control shapeId="214018" r:id="rId6" name="Presta">
          <controlPr defaultSize="0" print="0" disabled="1" autoLine="0" r:id="rId7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14018" r:id="rId6" name="Presta"/>
      </mc:Fallback>
    </mc:AlternateContent>
    <mc:AlternateContent xmlns:mc="http://schemas.openxmlformats.org/markup-compatibility/2006">
      <mc:Choice Requires="x14">
        <control shapeId="214019" r:id="rId8" name="PlusValue">
          <controlPr defaultSize="0" print="0" disabled="1" autoLine="0" r:id="rId9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14019" r:id="rId8" name="PlusValue"/>
      </mc:Fallback>
    </mc:AlternateContent>
    <mc:AlternateContent xmlns:mc="http://schemas.openxmlformats.org/markup-compatibility/2006">
      <mc:Choice Requires="x14">
        <control shapeId="214020" r:id="rId10" name="TauxPlusValue">
          <controlPr defaultSize="0" print="0" disabled="1" autoLine="0" r:id="rId11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14020" r:id="rId10" name="TauxPlusValue"/>
      </mc:Fallback>
    </mc:AlternateContent>
  </controls>
  <tableParts count="1">
    <tablePart r:id="rId1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A1:P24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68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1.25" x14ac:dyDescent="0.2">
      <c r="A14" s="18" t="s">
        <v>120</v>
      </c>
      <c r="B14" s="19"/>
      <c r="C14" s="13">
        <v>1</v>
      </c>
      <c r="D14" s="14" t="s">
        <v>124</v>
      </c>
      <c r="E14" s="34"/>
      <c r="F14" s="15"/>
      <c r="G14" s="16"/>
      <c r="H14" s="20"/>
      <c r="I14" s="20" t="str">
        <f>IF(AND(RIGHT(Chassisdetoit1[[#This Row],[INDEX]],3)&lt;&gt;"000",Chassisdetoit1[[#This Row],[INDEX]]&lt;&gt;""),Chassisdetoit1[[#This Row],[QUANTITE]]*Chassisdetoit1[[#This Row],[P.U.]],"")</f>
        <v/>
      </c>
      <c r="J14" s="35" t="str">
        <f>IF(AND(RIGHT(Chassisdetoit1[[#This Row],[INDEX]],3)&lt;&gt;"000",Chassisdetoit1[[#This Row],[INDEX]]&lt;&gt;""),IF(Chassisdetoit1[[#This Row],[PRESTA]]="F","1","1"),"")</f>
        <v/>
      </c>
    </row>
    <row r="15" spans="1:16" s="33" customFormat="1" ht="123.75" x14ac:dyDescent="0.2">
      <c r="A15" s="18" t="s">
        <v>121</v>
      </c>
      <c r="B15" s="19" t="s">
        <v>52</v>
      </c>
      <c r="C15" s="13" t="str">
        <f>C$14&amp;"."&amp;COUNTA(C$14:C14)</f>
        <v>1.1</v>
      </c>
      <c r="D15" s="17" t="s">
        <v>125</v>
      </c>
      <c r="E15" s="34"/>
      <c r="F15" s="15" t="s">
        <v>6</v>
      </c>
      <c r="G15" s="16"/>
      <c r="H15" s="20">
        <v>3960</v>
      </c>
      <c r="I15" s="20">
        <f>IF(AND(RIGHT(Chassisdetoit1[[#This Row],[INDEX]],3)&lt;&gt;"000",Chassisdetoit1[[#This Row],[INDEX]]&lt;&gt;""),Chassisdetoit1[[#This Row],[QUANTITE]]*Chassisdetoit1[[#This Row],[P.U.]],"")</f>
        <v>0</v>
      </c>
      <c r="J15" s="35" t="str">
        <f>IF(AND(RIGHT(Chassisdetoit1[[#This Row],[INDEX]],3)&lt;&gt;"000",Chassisdetoit1[[#This Row],[INDEX]]&lt;&gt;""),IF(Chassisdetoit1[[#This Row],[PRESTA]]="F","1","1"),"")</f>
        <v>1</v>
      </c>
    </row>
    <row r="16" spans="1:16" s="33" customFormat="1" ht="123.75" x14ac:dyDescent="0.2">
      <c r="A16" s="18" t="s">
        <v>122</v>
      </c>
      <c r="B16" s="19" t="s">
        <v>52</v>
      </c>
      <c r="C16" s="13" t="str">
        <f>C$14&amp;"."&amp;COUNTA(C$14:C15)</f>
        <v>1.2</v>
      </c>
      <c r="D16" s="17" t="s">
        <v>126</v>
      </c>
      <c r="E16" s="34"/>
      <c r="F16" s="15" t="s">
        <v>6</v>
      </c>
      <c r="G16" s="16"/>
      <c r="H16" s="20">
        <v>4755</v>
      </c>
      <c r="I16" s="20">
        <f>IF(AND(RIGHT(Chassisdetoit1[[#This Row],[INDEX]],3)&lt;&gt;"000",Chassisdetoit1[[#This Row],[INDEX]]&lt;&gt;""),Chassisdetoit1[[#This Row],[QUANTITE]]*Chassisdetoit1[[#This Row],[P.U.]],"")</f>
        <v>0</v>
      </c>
      <c r="J16" s="35" t="str">
        <f>IF(AND(RIGHT(Chassisdetoit1[[#This Row],[INDEX]],3)&lt;&gt;"000",Chassisdetoit1[[#This Row],[INDEX]]&lt;&gt;""),IF(Chassisdetoit1[[#This Row],[PRESTA]]="F","1","1"),"")</f>
        <v>1</v>
      </c>
    </row>
    <row r="17" spans="1:10" s="33" customFormat="1" ht="123.75" x14ac:dyDescent="0.2">
      <c r="A17" s="18" t="s">
        <v>123</v>
      </c>
      <c r="B17" s="19" t="s">
        <v>52</v>
      </c>
      <c r="C17" s="13" t="str">
        <f>C$14&amp;"."&amp;COUNTA(C$14:C16)</f>
        <v>1.3</v>
      </c>
      <c r="D17" s="17" t="s">
        <v>127</v>
      </c>
      <c r="E17" s="34"/>
      <c r="F17" s="15" t="s">
        <v>6</v>
      </c>
      <c r="G17" s="16"/>
      <c r="H17" s="20">
        <v>5550</v>
      </c>
      <c r="I17" s="20">
        <f>IF(AND(RIGHT(Chassisdetoit1[[#This Row],[INDEX]],3)&lt;&gt;"000",Chassisdetoit1[[#This Row],[INDEX]]&lt;&gt;""),Chassisdetoit1[[#This Row],[QUANTITE]]*Chassisdetoit1[[#This Row],[P.U.]],"")</f>
        <v>0</v>
      </c>
      <c r="J17" s="35" t="str">
        <f>IF(AND(RIGHT(Chassisdetoit1[[#This Row],[INDEX]],3)&lt;&gt;"000",Chassisdetoit1[[#This Row],[INDEX]]&lt;&gt;""),IF(Chassisdetoit1[[#This Row],[PRESTA]]="F","1","1"),"")</f>
        <v>1</v>
      </c>
    </row>
    <row r="18" spans="1:10" ht="11.25" x14ac:dyDescent="0.2">
      <c r="A18" s="18"/>
      <c r="B18" s="19"/>
      <c r="C18" s="13"/>
      <c r="D18" s="14"/>
      <c r="E18" s="14"/>
      <c r="F18" s="15"/>
      <c r="G18" s="16"/>
      <c r="H18" s="20"/>
      <c r="I18" s="29" t="str">
        <f>IF(AND(RIGHT(Chassisdetoit1[[#This Row],[INDEX]],3)&lt;&gt;"000",Chassisdetoit1[[#This Row],[INDEX]]&lt;&gt;""),Chassisdetoit1[[#This Row],[QUANTITE]]*Chassisdetoit1[[#This Row],[P.U.]],"")</f>
        <v/>
      </c>
      <c r="J18" s="22" t="str">
        <f>IF(AND(RIGHT(Chassisdetoit1[[#This Row],[INDEX]],3)&lt;&gt;"000",Chassisdetoit1[[#This Row],[INDEX]]&lt;&gt;""),IF(Chassisdetoit1[[#This Row],[PRESTA]]="F","1","1"),"")</f>
        <v/>
      </c>
    </row>
    <row r="19" spans="1:10" ht="18" customHeight="1" x14ac:dyDescent="0.2">
      <c r="C19" s="1"/>
      <c r="D19" s="1"/>
      <c r="E19" s="1"/>
      <c r="F19" s="1"/>
      <c r="G19" s="1"/>
      <c r="H19" s="1"/>
      <c r="I19" s="1"/>
      <c r="J19" s="1"/>
    </row>
    <row r="20" spans="1:10" ht="18" customHeight="1" x14ac:dyDescent="0.2">
      <c r="C20" s="56" t="s">
        <v>2</v>
      </c>
      <c r="D20" s="1"/>
      <c r="E20" s="1"/>
      <c r="F20" s="37"/>
      <c r="G20" s="5" t="s">
        <v>57</v>
      </c>
      <c r="H20" s="6"/>
      <c r="I20" s="105">
        <f>SUM(Chassisdetoit1[TOTAL H.T.])</f>
        <v>0</v>
      </c>
      <c r="J20" s="106"/>
    </row>
    <row r="21" spans="1:10" ht="18" customHeight="1" x14ac:dyDescent="0.2">
      <c r="C21" s="4" t="s">
        <v>1</v>
      </c>
      <c r="D21" s="1"/>
      <c r="E21" s="1"/>
      <c r="F21" s="37"/>
      <c r="G21" s="7" t="s">
        <v>59</v>
      </c>
      <c r="H21" s="8"/>
      <c r="I21" s="107">
        <f>SUMIF(Chassisdetoit1[TVA],"1",Chassisdetoit1[TOTAL H.T.])*20%</f>
        <v>0</v>
      </c>
      <c r="J21" s="108"/>
    </row>
    <row r="22" spans="1:10" ht="18" customHeight="1" x14ac:dyDescent="0.2">
      <c r="C22" s="1"/>
      <c r="D22" s="1"/>
      <c r="E22" s="1"/>
      <c r="F22" s="37"/>
      <c r="G22" s="7" t="s">
        <v>60</v>
      </c>
      <c r="H22" s="9"/>
      <c r="I22" s="107">
        <f>SUMIF(Chassisdetoit1[TVA],"2",Chassisdetoit1[TOTAL H.T.])*10%</f>
        <v>0</v>
      </c>
      <c r="J22" s="108"/>
    </row>
    <row r="23" spans="1:10" ht="18" customHeight="1" x14ac:dyDescent="0.2">
      <c r="C23" s="1"/>
      <c r="D23" s="1"/>
      <c r="E23" s="1"/>
      <c r="F23" s="37"/>
      <c r="G23" s="7" t="s">
        <v>61</v>
      </c>
      <c r="H23" s="9"/>
      <c r="I23" s="107">
        <f>SUMIF(Chassisdetoit1[TVA],"3",Chassisdetoit1[TOTAL H.T.])*5.5%</f>
        <v>0</v>
      </c>
      <c r="J23" s="108"/>
    </row>
    <row r="24" spans="1:10" ht="18" customHeight="1" x14ac:dyDescent="0.2">
      <c r="C24" s="1"/>
      <c r="D24" s="1"/>
      <c r="E24" s="1"/>
      <c r="F24" s="37"/>
      <c r="G24" s="10" t="s">
        <v>58</v>
      </c>
      <c r="H24" s="11"/>
      <c r="I24" s="100">
        <f>SUM(I20:I23)</f>
        <v>0</v>
      </c>
      <c r="J24" s="101"/>
    </row>
  </sheetData>
  <sheetProtection sheet="1" objects="1" scenarios="1" insertRows="0" deleteRows="0" selectLockedCells="1"/>
  <dataConsolidate/>
  <mergeCells count="7">
    <mergeCell ref="I24:J24"/>
    <mergeCell ref="C10:J10"/>
    <mergeCell ref="C11:J11"/>
    <mergeCell ref="I20:J20"/>
    <mergeCell ref="I21:J21"/>
    <mergeCell ref="I22:J22"/>
    <mergeCell ref="I23:J23"/>
  </mergeCells>
  <conditionalFormatting sqref="B14:B18">
    <cfRule type="cellIs" dxfId="31" priority="3" operator="equal">
      <formula>"F"</formula>
    </cfRule>
    <cfRule type="cellIs" dxfId="30" priority="4" operator="equal">
      <formula>"F &amp; P"</formula>
    </cfRule>
  </conditionalFormatting>
  <conditionalFormatting sqref="A14:H18">
    <cfRule type="expression" dxfId="29" priority="2">
      <formula>RIGHT($A14,3)="000"</formula>
    </cfRule>
  </conditionalFormatting>
  <dataValidations count="4">
    <dataValidation type="custom" allowBlank="1" showErrorMessage="1" errorTitle="Erreur de saisie" error="Veuillez saisir le nom en majuscules et sans symbole &quot;/&quot;" sqref="C10:J10">
      <formula1>EXACT(C10,UPPER(C10))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18">
      <formula1>"1,2,3"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:B18">
      <formula1>"F &amp; P,F"</formula1>
    </dataValidation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18">
      <formula1>"U,ens,ml,m²,m³,Fo,Kg,T"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5044" r:id="rId4" name="TauxPlusValue">
          <controlPr defaultSize="0" print="0" disabled="1" autoLine="0" r:id="rId5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15044" r:id="rId4" name="TauxPlusValue"/>
      </mc:Fallback>
    </mc:AlternateContent>
    <mc:AlternateContent xmlns:mc="http://schemas.openxmlformats.org/markup-compatibility/2006">
      <mc:Choice Requires="x14">
        <control shapeId="215043" r:id="rId6" name="PlusValue">
          <controlPr defaultSize="0" print="0" disabled="1" autoLine="0" r:id="rId7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15043" r:id="rId6" name="PlusValue"/>
      </mc:Fallback>
    </mc:AlternateContent>
    <mc:AlternateContent xmlns:mc="http://schemas.openxmlformats.org/markup-compatibility/2006">
      <mc:Choice Requires="x14">
        <control shapeId="215042" r:id="rId8" name="Presta">
          <controlPr defaultSize="0" print="0" disabled="1" autoLine="0" r:id="rId9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15042" r:id="rId8" name="Presta"/>
      </mc:Fallback>
    </mc:AlternateContent>
    <mc:AlternateContent xmlns:mc="http://schemas.openxmlformats.org/markup-compatibility/2006">
      <mc:Choice Requires="x14">
        <control shapeId="215041" r:id="rId10" name="Mode">
          <controlPr defaultSize="0" print="0" autoLine="0" r:id="rId11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15041" r:id="rId10" name="Mode"/>
      </mc:Fallback>
    </mc:AlternateContent>
  </controls>
  <tableParts count="1">
    <tablePart r:id="rId1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5" tint="-0.249977111117893"/>
  </sheetPr>
  <dimension ref="A1:P21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49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23.75" x14ac:dyDescent="0.2">
      <c r="A14" s="18"/>
      <c r="B14" s="19"/>
      <c r="C14" s="13"/>
      <c r="D14" s="17" t="s">
        <v>129</v>
      </c>
      <c r="E14" s="34"/>
      <c r="F14" s="15"/>
      <c r="G14" s="16"/>
      <c r="H14" s="20"/>
      <c r="I14" s="20" t="str">
        <f>IF(AND(RIGHT(Charpentemetallique1[[#This Row],[INDEX]],3)&lt;&gt;"000",Charpentemetallique1[[#This Row],[INDEX]]&lt;&gt;""),Charpentemetallique1[[#This Row],[QUANTITE]]*Charpentemetallique1[[#This Row],[P.U.]],"")</f>
        <v/>
      </c>
      <c r="J14" s="35" t="str">
        <f>IF(AND(RIGHT(Charpentemetallique1[[#This Row],[INDEX]],3)&lt;&gt;"000",Charpentemetallique1[[#This Row],[INDEX]]&lt;&gt;""),IF(Charpentemetallique1[[#This Row],[PRESTA]]="F","1","1"),"")</f>
        <v/>
      </c>
    </row>
    <row r="15" spans="1:16" ht="11.25" x14ac:dyDescent="0.2">
      <c r="A15" s="18"/>
      <c r="B15" s="19"/>
      <c r="C15" s="13"/>
      <c r="D15" s="14"/>
      <c r="E15" s="14"/>
      <c r="F15" s="15"/>
      <c r="G15" s="16"/>
      <c r="H15" s="20"/>
      <c r="I15" s="29" t="str">
        <f>IF(AND(RIGHT(Charpentemetallique1[[#This Row],[INDEX]],3)&lt;&gt;"000",Charpentemetallique1[[#This Row],[INDEX]]&lt;&gt;""),Charpentemetallique1[[#This Row],[QUANTITE]]*Charpentemetallique1[[#This Row],[P.U.]],"")</f>
        <v/>
      </c>
      <c r="J15" s="22" t="str">
        <f>IF(AND(RIGHT(Charpentemetallique1[[#This Row],[INDEX]],3)&lt;&gt;"000",Charpentemetallique1[[#This Row],[INDEX]]&lt;&gt;""),IF(Charpentemetallique1[[#This Row],[PRESTA]]="F","1","1"),"")</f>
        <v/>
      </c>
    </row>
    <row r="16" spans="1:16" ht="18" customHeight="1" x14ac:dyDescent="0.2">
      <c r="C16" s="1"/>
      <c r="D16" s="1"/>
      <c r="E16" s="1"/>
      <c r="F16" s="1"/>
      <c r="G16" s="1"/>
      <c r="H16" s="1"/>
      <c r="I16" s="1"/>
      <c r="J16" s="1"/>
    </row>
    <row r="17" spans="3:10" ht="18" customHeight="1" x14ac:dyDescent="0.2">
      <c r="C17" s="56" t="s">
        <v>2</v>
      </c>
      <c r="D17" s="1"/>
      <c r="E17" s="1"/>
      <c r="F17" s="1"/>
      <c r="G17" s="5" t="s">
        <v>57</v>
      </c>
      <c r="H17" s="6"/>
      <c r="I17" s="105">
        <f>SUM(Charpentemetallique1[TOTAL H.T.])</f>
        <v>0</v>
      </c>
      <c r="J17" s="106"/>
    </row>
    <row r="18" spans="3:10" ht="18" customHeight="1" x14ac:dyDescent="0.2">
      <c r="C18" s="4" t="s">
        <v>1</v>
      </c>
      <c r="D18" s="1"/>
      <c r="E18" s="1"/>
      <c r="F18" s="1"/>
      <c r="G18" s="7" t="s">
        <v>59</v>
      </c>
      <c r="H18" s="8"/>
      <c r="I18" s="107">
        <f>SUMIF(Charpentemetallique1[TVA],"1",Charpentemetallique1[TOTAL H.T.])*20%</f>
        <v>0</v>
      </c>
      <c r="J18" s="108"/>
    </row>
    <row r="19" spans="3:10" ht="18" customHeight="1" x14ac:dyDescent="0.2">
      <c r="C19" s="1"/>
      <c r="D19" s="1"/>
      <c r="E19" s="1"/>
      <c r="F19" s="1"/>
      <c r="G19" s="7" t="s">
        <v>60</v>
      </c>
      <c r="H19" s="9"/>
      <c r="I19" s="107">
        <f>SUMIF(Charpentemetallique1[TVA],"2",Charpentemetallique1[TOTAL H.T.])*10%</f>
        <v>0</v>
      </c>
      <c r="J19" s="108"/>
    </row>
    <row r="20" spans="3:10" ht="18" customHeight="1" x14ac:dyDescent="0.2">
      <c r="C20" s="1"/>
      <c r="D20" s="1"/>
      <c r="E20" s="1"/>
      <c r="F20" s="1"/>
      <c r="G20" s="7" t="s">
        <v>61</v>
      </c>
      <c r="H20" s="9"/>
      <c r="I20" s="107">
        <f>SUMIF(Charpentemetallique1[TVA],"3",Charpentemetallique1[TOTAL H.T.])*5.5%</f>
        <v>0</v>
      </c>
      <c r="J20" s="108"/>
    </row>
    <row r="21" spans="3:10" ht="18" customHeight="1" x14ac:dyDescent="0.2">
      <c r="C21" s="1"/>
      <c r="D21" s="1"/>
      <c r="E21" s="1"/>
      <c r="F21" s="1"/>
      <c r="G21" s="10" t="s">
        <v>58</v>
      </c>
      <c r="H21" s="11"/>
      <c r="I21" s="100">
        <f>SUM(I17:I20)</f>
        <v>0</v>
      </c>
      <c r="J21" s="101"/>
    </row>
  </sheetData>
  <sheetProtection sheet="1" objects="1" scenarios="1" insertRows="0" deleteRows="0" selectLockedCells="1"/>
  <dataConsolidate/>
  <mergeCells count="7">
    <mergeCell ref="I21:J21"/>
    <mergeCell ref="C10:J10"/>
    <mergeCell ref="C11:J11"/>
    <mergeCell ref="I17:J17"/>
    <mergeCell ref="I18:J18"/>
    <mergeCell ref="I19:J19"/>
    <mergeCell ref="I20:J20"/>
  </mergeCells>
  <conditionalFormatting sqref="B14:B15">
    <cfRule type="cellIs" dxfId="28" priority="2" operator="equal">
      <formula>"F"</formula>
    </cfRule>
    <cfRule type="cellIs" dxfId="27" priority="3" operator="equal">
      <formula>"F &amp; P"</formula>
    </cfRule>
  </conditionalFormatting>
  <conditionalFormatting sqref="A15:H15 A14:C14 E14:H14">
    <cfRule type="expression" dxfId="26" priority="1">
      <formula>RIGHT($A14,3)="000"</formula>
    </cfRule>
  </conditionalFormatting>
  <dataValidations count="4"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15">
      <formula1>"U,ens,ml,m²,m³,Fo,Kg,T"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:B15">
      <formula1>"F &amp; P,F"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15">
      <formula1>"1,2,3"</formula1>
    </dataValidation>
    <dataValidation type="custom" allowBlank="1" showErrorMessage="1" errorTitle="Erreur de saisie" error="Veuillez saisir le nom en majuscules et sans symbole &quot;/&quot;" sqref="C10:J10">
      <formula1>EXACT(C10,UPPER(C10))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9140" r:id="rId4" name="TauxPlusValue">
          <controlPr defaultSize="0" print="0" disabled="1" autoLine="0" r:id="rId5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19140" r:id="rId4" name="TauxPlusValue"/>
      </mc:Fallback>
    </mc:AlternateContent>
    <mc:AlternateContent xmlns:mc="http://schemas.openxmlformats.org/markup-compatibility/2006">
      <mc:Choice Requires="x14">
        <control shapeId="219139" r:id="rId6" name="PlusValue">
          <controlPr defaultSize="0" print="0" disabled="1" autoLine="0" r:id="rId7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19139" r:id="rId6" name="PlusValue"/>
      </mc:Fallback>
    </mc:AlternateContent>
    <mc:AlternateContent xmlns:mc="http://schemas.openxmlformats.org/markup-compatibility/2006">
      <mc:Choice Requires="x14">
        <control shapeId="219138" r:id="rId8" name="Presta">
          <controlPr defaultSize="0" print="0" disabled="1" autoLine="0" r:id="rId9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19138" r:id="rId8" name="Presta"/>
      </mc:Fallback>
    </mc:AlternateContent>
    <mc:AlternateContent xmlns:mc="http://schemas.openxmlformats.org/markup-compatibility/2006">
      <mc:Choice Requires="x14">
        <control shapeId="219137" r:id="rId10" name="Mode">
          <controlPr defaultSize="0" print="0" autoLine="0" r:id="rId11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19137" r:id="rId10" name="Mode"/>
      </mc:Fallback>
    </mc:AlternateContent>
  </controls>
  <tableParts count="1">
    <tablePart r:id="rId1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theme="1" tint="0.14999847407452621"/>
  </sheetPr>
  <dimension ref="A1:P20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50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ht="11.25" x14ac:dyDescent="0.2">
      <c r="A14" s="18"/>
      <c r="B14" s="19"/>
      <c r="C14" s="13"/>
      <c r="D14" s="14"/>
      <c r="E14" s="14"/>
      <c r="F14" s="15"/>
      <c r="G14" s="16"/>
      <c r="H14" s="20"/>
      <c r="I14" s="29" t="str">
        <f>IF(AND(RIGHT(Serrurerie1[[#This Row],[INDEX]],3)&lt;&gt;"000",Serrurerie1[[#This Row],[INDEX]]&lt;&gt;""),Serrurerie1[[#This Row],[QUANTITE]]*Serrurerie1[[#This Row],[P.U.]],"")</f>
        <v/>
      </c>
      <c r="J14" s="22" t="str">
        <f>IF(AND(RIGHT(Serrurerie1[[#This Row],[INDEX]],3)&lt;&gt;"000",Serrurerie1[[#This Row],[INDEX]]&lt;&gt;""),IF(Serrurerie1[[#This Row],[PRESTA]]="F","1","1"),"")</f>
        <v/>
      </c>
    </row>
    <row r="15" spans="1:16" ht="18" customHeight="1" x14ac:dyDescent="0.2">
      <c r="C15" s="1"/>
      <c r="D15" s="1"/>
      <c r="E15" s="1"/>
      <c r="F15" s="1"/>
      <c r="G15" s="1"/>
      <c r="H15" s="1"/>
      <c r="I15" s="1"/>
      <c r="J15" s="1"/>
    </row>
    <row r="16" spans="1:16" ht="18" customHeight="1" x14ac:dyDescent="0.2">
      <c r="C16" s="56" t="s">
        <v>2</v>
      </c>
      <c r="D16" s="1"/>
      <c r="E16" s="1"/>
      <c r="F16" s="1"/>
      <c r="G16" s="5" t="s">
        <v>57</v>
      </c>
      <c r="H16" s="6"/>
      <c r="I16" s="105">
        <f>SUM(Serrurerie1[TOTAL H.T.])</f>
        <v>0</v>
      </c>
      <c r="J16" s="106"/>
    </row>
    <row r="17" spans="3:10" ht="18" customHeight="1" x14ac:dyDescent="0.2">
      <c r="C17" s="4" t="s">
        <v>1</v>
      </c>
      <c r="D17" s="1"/>
      <c r="E17" s="1"/>
      <c r="F17" s="1"/>
      <c r="G17" s="7" t="s">
        <v>59</v>
      </c>
      <c r="H17" s="8"/>
      <c r="I17" s="107">
        <f>SUMIF(Serrurerie1[TVA],"1",Serrurerie1[TOTAL H.T.])*20%</f>
        <v>0</v>
      </c>
      <c r="J17" s="108"/>
    </row>
    <row r="18" spans="3:10" ht="18" customHeight="1" x14ac:dyDescent="0.2">
      <c r="C18" s="1"/>
      <c r="D18" s="1"/>
      <c r="E18" s="1"/>
      <c r="F18" s="1"/>
      <c r="G18" s="7" t="s">
        <v>60</v>
      </c>
      <c r="H18" s="9"/>
      <c r="I18" s="107">
        <f>SUMIF(Serrurerie1[TVA],"2",Serrurerie1[TOTAL H.T.])*10%</f>
        <v>0</v>
      </c>
      <c r="J18" s="108"/>
    </row>
    <row r="19" spans="3:10" ht="18" customHeight="1" x14ac:dyDescent="0.2">
      <c r="C19" s="1"/>
      <c r="D19" s="1"/>
      <c r="E19" s="1"/>
      <c r="F19" s="1"/>
      <c r="G19" s="7" t="s">
        <v>61</v>
      </c>
      <c r="H19" s="9"/>
      <c r="I19" s="107">
        <f>SUMIF(Serrurerie1[TVA],"3",Serrurerie1[TOTAL H.T.])*5.5%</f>
        <v>0</v>
      </c>
      <c r="J19" s="108"/>
    </row>
    <row r="20" spans="3:10" ht="18" customHeight="1" x14ac:dyDescent="0.2">
      <c r="C20" s="1"/>
      <c r="D20" s="1"/>
      <c r="E20" s="1"/>
      <c r="F20" s="1"/>
      <c r="G20" s="10" t="s">
        <v>58</v>
      </c>
      <c r="H20" s="11"/>
      <c r="I20" s="100">
        <f>SUM(I16:I19)</f>
        <v>0</v>
      </c>
      <c r="J20" s="101"/>
    </row>
  </sheetData>
  <sheetProtection sheet="1" objects="1" scenarios="1" insertRows="0" deleteRows="0" selectLockedCells="1"/>
  <dataConsolidate/>
  <mergeCells count="7">
    <mergeCell ref="I20:J20"/>
    <mergeCell ref="C10:J10"/>
    <mergeCell ref="C11:J11"/>
    <mergeCell ref="I16:J16"/>
    <mergeCell ref="I17:J17"/>
    <mergeCell ref="I18:J18"/>
    <mergeCell ref="I19:J19"/>
  </mergeCells>
  <conditionalFormatting sqref="B14">
    <cfRule type="cellIs" dxfId="25" priority="2" operator="equal">
      <formula>"F"</formula>
    </cfRule>
    <cfRule type="cellIs" dxfId="24" priority="3" operator="equal">
      <formula>"F &amp; P"</formula>
    </cfRule>
  </conditionalFormatting>
  <conditionalFormatting sqref="A14:H14">
    <cfRule type="expression" dxfId="23" priority="1">
      <formula>RIGHT($A14,3)="000"</formula>
    </cfRule>
  </conditionalFormatting>
  <dataValidations count="4">
    <dataValidation type="custom" allowBlank="1" showErrorMessage="1" errorTitle="Erreur de saisie" error="Veuillez saisir le nom en majuscules et sans symbole &quot;/&quot;" sqref="C10:J10">
      <formula1>EXACT(C10,UPPER(C10))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">
      <formula1>"1,2,3"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">
      <formula1>"F &amp; P,F"</formula1>
    </dataValidation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">
      <formula1>"U,ens,ml,m²,m³,Fo,Kg,T"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0164" r:id="rId4" name="TauxPlusValue">
          <controlPr defaultSize="0" print="0" disabled="1" autoLine="0" r:id="rId5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20164" r:id="rId4" name="TauxPlusValue"/>
      </mc:Fallback>
    </mc:AlternateContent>
    <mc:AlternateContent xmlns:mc="http://schemas.openxmlformats.org/markup-compatibility/2006">
      <mc:Choice Requires="x14">
        <control shapeId="220163" r:id="rId6" name="PlusValue">
          <controlPr defaultSize="0" print="0" disabled="1" autoLine="0" r:id="rId7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20163" r:id="rId6" name="PlusValue"/>
      </mc:Fallback>
    </mc:AlternateContent>
    <mc:AlternateContent xmlns:mc="http://schemas.openxmlformats.org/markup-compatibility/2006">
      <mc:Choice Requires="x14">
        <control shapeId="220162" r:id="rId8" name="Presta">
          <controlPr defaultSize="0" print="0" disabled="1" autoLine="0" r:id="rId9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20162" r:id="rId8" name="Presta"/>
      </mc:Fallback>
    </mc:AlternateContent>
    <mc:AlternateContent xmlns:mc="http://schemas.openxmlformats.org/markup-compatibility/2006">
      <mc:Choice Requires="x14">
        <control shapeId="220161" r:id="rId10" name="Mode">
          <controlPr defaultSize="0" print="0" autoLine="0" r:id="rId11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20161" r:id="rId10" name="Mode"/>
      </mc:Fallback>
    </mc:AlternateContent>
  </controls>
  <tableParts count="1">
    <tablePart r:id="rId1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002060"/>
  </sheetPr>
  <dimension ref="A1:P27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36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1.25" x14ac:dyDescent="0.2">
      <c r="A14" s="18">
        <v>1000</v>
      </c>
      <c r="B14" s="19"/>
      <c r="C14" s="13">
        <v>1</v>
      </c>
      <c r="D14" s="14" t="s">
        <v>36</v>
      </c>
      <c r="E14" s="34"/>
      <c r="F14" s="15"/>
      <c r="G14" s="16"/>
      <c r="H14" s="20"/>
      <c r="I14" s="20" t="str">
        <f>IF(AND(RIGHT(Escalier1[[#This Row],[INDEX]],3)&lt;&gt;"000",Escalier1[[#This Row],[INDEX]]&lt;&gt;""),Escalier1[[#This Row],[QUANTITE]]*Escalier1[[#This Row],[P.U.]],"")</f>
        <v/>
      </c>
      <c r="J14" s="35" t="str">
        <f>IF(AND(RIGHT(Escalier1[[#This Row],[INDEX]],3)&lt;&gt;"000",Escalier1[[#This Row],[INDEX]]&lt;&gt;""),IF(Escalier1[[#This Row],[PRESTA]]="F","1","1"),"")</f>
        <v/>
      </c>
    </row>
    <row r="15" spans="1:16" s="33" customFormat="1" ht="191.25" x14ac:dyDescent="0.2">
      <c r="A15" s="18" t="s">
        <v>101</v>
      </c>
      <c r="B15" s="19" t="s">
        <v>52</v>
      </c>
      <c r="C15" s="13" t="str">
        <f>C$14&amp;"."&amp;COUNTA(C$14:C14)</f>
        <v>1.1</v>
      </c>
      <c r="D15" s="17" t="s">
        <v>396</v>
      </c>
      <c r="E15" s="34"/>
      <c r="F15" s="15" t="s">
        <v>7</v>
      </c>
      <c r="G15" s="16"/>
      <c r="H15" s="68">
        <v>4000</v>
      </c>
      <c r="I15" s="20">
        <f>IF(AND(RIGHT(Escalier1[[#This Row],[INDEX]],3)&lt;&gt;"000",Escalier1[[#This Row],[INDEX]]&lt;&gt;""),Escalier1[[#This Row],[QUANTITE]]*Escalier1[[#This Row],[P.U.]],"")</f>
        <v>0</v>
      </c>
      <c r="J15" s="35" t="str">
        <f>IF(AND(RIGHT(Escalier1[[#This Row],[INDEX]],3)&lt;&gt;"000",Escalier1[[#This Row],[INDEX]]&lt;&gt;""),IF(Escalier1[[#This Row],[PRESTA]]="F","1","1"),"")</f>
        <v>1</v>
      </c>
    </row>
    <row r="16" spans="1:16" s="33" customFormat="1" ht="11.25" x14ac:dyDescent="0.2">
      <c r="A16" s="18">
        <v>1000</v>
      </c>
      <c r="B16" s="19"/>
      <c r="C16" s="13">
        <v>2</v>
      </c>
      <c r="D16" s="14" t="s">
        <v>393</v>
      </c>
      <c r="E16" s="34"/>
      <c r="F16" s="15"/>
      <c r="G16" s="16"/>
      <c r="H16" s="20"/>
      <c r="I16" s="20" t="str">
        <f>IF(AND(RIGHT(Escalier1[[#This Row],[INDEX]],3)&lt;&gt;"000",Escalier1[[#This Row],[INDEX]]&lt;&gt;""),Escalier1[[#This Row],[QUANTITE]]*Escalier1[[#This Row],[P.U.]],"")</f>
        <v/>
      </c>
      <c r="J16" s="35" t="str">
        <f>IF(AND(RIGHT(Escalier1[[#This Row],[INDEX]],3)&lt;&gt;"000",Escalier1[[#This Row],[INDEX]]&lt;&gt;""),IF(Escalier1[[#This Row],[PRESTA]]="F","1","1"),"")</f>
        <v/>
      </c>
    </row>
    <row r="17" spans="1:10" s="33" customFormat="1" ht="135" x14ac:dyDescent="0.2">
      <c r="A17" s="18" t="s">
        <v>101</v>
      </c>
      <c r="B17" s="19" t="s">
        <v>52</v>
      </c>
      <c r="C17" s="13" t="str">
        <f>C$16&amp;"."&amp;COUNTA(C$16:C16)</f>
        <v>2.1</v>
      </c>
      <c r="D17" s="17" t="s">
        <v>397</v>
      </c>
      <c r="E17" s="34"/>
      <c r="F17" s="15" t="s">
        <v>5</v>
      </c>
      <c r="G17" s="16"/>
      <c r="H17" s="68">
        <v>235</v>
      </c>
      <c r="I17" s="20">
        <f>IF(AND(RIGHT(Escalier1[[#This Row],[INDEX]],3)&lt;&gt;"000",Escalier1[[#This Row],[INDEX]]&lt;&gt;""),Escalier1[[#This Row],[QUANTITE]]*Escalier1[[#This Row],[P.U.]],"")</f>
        <v>0</v>
      </c>
      <c r="J17" s="35" t="str">
        <f>IF(AND(RIGHT(Escalier1[[#This Row],[INDEX]],3)&lt;&gt;"000",Escalier1[[#This Row],[INDEX]]&lt;&gt;""),IF(Escalier1[[#This Row],[PRESTA]]="F","1","1"),"")</f>
        <v>1</v>
      </c>
    </row>
    <row r="18" spans="1:10" s="33" customFormat="1" ht="11.25" x14ac:dyDescent="0.2">
      <c r="A18" s="18">
        <v>1000</v>
      </c>
      <c r="B18" s="19"/>
      <c r="C18" s="13">
        <v>3</v>
      </c>
      <c r="D18" s="14" t="s">
        <v>146</v>
      </c>
      <c r="E18" s="34"/>
      <c r="F18" s="15"/>
      <c r="G18" s="16"/>
      <c r="H18" s="20"/>
      <c r="I18" s="20" t="str">
        <f>IF(AND(RIGHT(Escalier1[[#This Row],[INDEX]],3)&lt;&gt;"000",Escalier1[[#This Row],[INDEX]]&lt;&gt;""),Escalier1[[#This Row],[QUANTITE]]*Escalier1[[#This Row],[P.U.]],"")</f>
        <v/>
      </c>
      <c r="J18" s="35" t="str">
        <f>IF(AND(RIGHT(Escalier1[[#This Row],[INDEX]],3)&lt;&gt;"000",Escalier1[[#This Row],[INDEX]]&lt;&gt;""),IF(Escalier1[[#This Row],[PRESTA]]="F","1","1"),"")</f>
        <v/>
      </c>
    </row>
    <row r="19" spans="1:10" s="33" customFormat="1" ht="45" x14ac:dyDescent="0.2">
      <c r="A19" s="18"/>
      <c r="B19" s="19" t="s">
        <v>52</v>
      </c>
      <c r="C19" s="13" t="str">
        <f>C$18&amp;"."&amp;COUNTA(C$18:C18)</f>
        <v>3.1</v>
      </c>
      <c r="D19" s="17" t="s">
        <v>395</v>
      </c>
      <c r="E19" s="34"/>
      <c r="F19" s="15"/>
      <c r="G19" s="16" t="s">
        <v>394</v>
      </c>
      <c r="H19" s="20"/>
      <c r="I19" s="20" t="str">
        <f>IF(AND(RIGHT(Escalier1[[#This Row],[INDEX]],3)&lt;&gt;"000",Escalier1[[#This Row],[INDEX]]&lt;&gt;""),Escalier1[[#This Row],[QUANTITE]]*Escalier1[[#This Row],[P.U.]],"")</f>
        <v/>
      </c>
      <c r="J19" s="35" t="str">
        <f>IF(AND(RIGHT(Escalier1[[#This Row],[INDEX]],3)&lt;&gt;"000",Escalier1[[#This Row],[INDEX]]&lt;&gt;""),IF(Escalier1[[#This Row],[PRESTA]]="F","1","1"),"")</f>
        <v/>
      </c>
    </row>
    <row r="20" spans="1:10" s="33" customFormat="1" ht="11.25" x14ac:dyDescent="0.2">
      <c r="A20" s="18"/>
      <c r="B20" s="19"/>
      <c r="C20" s="13"/>
      <c r="D20" s="14"/>
      <c r="E20" s="34"/>
      <c r="F20" s="15"/>
      <c r="G20" s="16"/>
      <c r="H20" s="20"/>
      <c r="I20" s="20" t="str">
        <f>IF(AND(RIGHT(Escalier1[[#This Row],[INDEX]],3)&lt;&gt;"000",Escalier1[[#This Row],[INDEX]]&lt;&gt;""),Escalier1[[#This Row],[QUANTITE]]*Escalier1[[#This Row],[P.U.]],"")</f>
        <v/>
      </c>
      <c r="J20" s="35" t="str">
        <f>IF(AND(RIGHT(Escalier1[[#This Row],[INDEX]],3)&lt;&gt;"000",Escalier1[[#This Row],[INDEX]]&lt;&gt;""),IF(Escalier1[[#This Row],[PRESTA]]="F","1","1"),"")</f>
        <v/>
      </c>
    </row>
    <row r="21" spans="1:10" ht="11.25" x14ac:dyDescent="0.2">
      <c r="A21" s="18"/>
      <c r="B21" s="19"/>
      <c r="C21" s="13"/>
      <c r="D21" s="14"/>
      <c r="E21" s="14"/>
      <c r="F21" s="15"/>
      <c r="G21" s="16"/>
      <c r="H21" s="20"/>
      <c r="I21" s="29" t="str">
        <f>IF(AND(RIGHT(Escalier1[[#This Row],[INDEX]],3)&lt;&gt;"000",Escalier1[[#This Row],[INDEX]]&lt;&gt;""),Escalier1[[#This Row],[QUANTITE]]*Escalier1[[#This Row],[P.U.]],"")</f>
        <v/>
      </c>
      <c r="J21" s="22" t="str">
        <f>IF(AND(RIGHT(Escalier1[[#This Row],[INDEX]],3)&lt;&gt;"000",Escalier1[[#This Row],[INDEX]]&lt;&gt;""),IF(Escalier1[[#This Row],[PRESTA]]="F","1","1"),"")</f>
        <v/>
      </c>
    </row>
    <row r="22" spans="1:10" ht="18" customHeight="1" x14ac:dyDescent="0.2">
      <c r="C22" s="1"/>
      <c r="D22" s="1"/>
      <c r="E22" s="1"/>
      <c r="F22" s="1"/>
      <c r="G22" s="1"/>
      <c r="H22" s="1"/>
      <c r="I22" s="1"/>
      <c r="J22" s="1"/>
    </row>
    <row r="23" spans="1:10" ht="18" customHeight="1" x14ac:dyDescent="0.2">
      <c r="C23" s="56" t="s">
        <v>2</v>
      </c>
      <c r="D23" s="1"/>
      <c r="E23" s="1"/>
      <c r="F23" s="1"/>
      <c r="G23" s="5" t="s">
        <v>57</v>
      </c>
      <c r="H23" s="6"/>
      <c r="I23" s="105">
        <f>SUM(Escalier1[TOTAL H.T.])</f>
        <v>0</v>
      </c>
      <c r="J23" s="106"/>
    </row>
    <row r="24" spans="1:10" ht="18" customHeight="1" x14ac:dyDescent="0.2">
      <c r="C24" s="4" t="s">
        <v>1</v>
      </c>
      <c r="D24" s="1"/>
      <c r="E24" s="1"/>
      <c r="F24" s="1"/>
      <c r="G24" s="7" t="s">
        <v>59</v>
      </c>
      <c r="H24" s="8"/>
      <c r="I24" s="107">
        <f>SUMIF(Escalier1[TVA],"1",Escalier1[TOTAL H.T.])*20%</f>
        <v>0</v>
      </c>
      <c r="J24" s="108"/>
    </row>
    <row r="25" spans="1:10" ht="18" customHeight="1" x14ac:dyDescent="0.2">
      <c r="C25" s="1"/>
      <c r="D25" s="1"/>
      <c r="E25" s="1"/>
      <c r="F25" s="1"/>
      <c r="G25" s="7" t="s">
        <v>60</v>
      </c>
      <c r="H25" s="9"/>
      <c r="I25" s="107">
        <f>SUMIF(Escalier1[TVA],"2",Escalier1[TOTAL H.T.])*10%</f>
        <v>0</v>
      </c>
      <c r="J25" s="108"/>
    </row>
    <row r="26" spans="1:10" ht="18" customHeight="1" x14ac:dyDescent="0.2">
      <c r="C26" s="1"/>
      <c r="D26" s="1"/>
      <c r="E26" s="1"/>
      <c r="F26" s="1"/>
      <c r="G26" s="7" t="s">
        <v>61</v>
      </c>
      <c r="H26" s="9"/>
      <c r="I26" s="107">
        <f>SUMIF(Escalier1[TVA],"3",Escalier1[TOTAL H.T.])*5.5%</f>
        <v>0</v>
      </c>
      <c r="J26" s="108"/>
    </row>
    <row r="27" spans="1:10" ht="18" customHeight="1" x14ac:dyDescent="0.2">
      <c r="C27" s="1"/>
      <c r="D27" s="1"/>
      <c r="E27" s="1"/>
      <c r="F27" s="1"/>
      <c r="G27" s="10" t="s">
        <v>58</v>
      </c>
      <c r="H27" s="11"/>
      <c r="I27" s="100">
        <f>SUM(I23:I26)</f>
        <v>0</v>
      </c>
      <c r="J27" s="101"/>
    </row>
  </sheetData>
  <sheetProtection sheet="1" objects="1" scenarios="1" insertRows="0" deleteRows="0" selectLockedCells="1"/>
  <dataConsolidate/>
  <mergeCells count="7">
    <mergeCell ref="I27:J27"/>
    <mergeCell ref="C10:J10"/>
    <mergeCell ref="C11:J11"/>
    <mergeCell ref="I23:J23"/>
    <mergeCell ref="I24:J24"/>
    <mergeCell ref="I25:J25"/>
    <mergeCell ref="I26:J26"/>
  </mergeCells>
  <conditionalFormatting sqref="B14:B21">
    <cfRule type="cellIs" dxfId="22" priority="5" operator="equal">
      <formula>"F"</formula>
    </cfRule>
    <cfRule type="cellIs" dxfId="21" priority="6" operator="equal">
      <formula>"F &amp; P"</formula>
    </cfRule>
  </conditionalFormatting>
  <conditionalFormatting sqref="A14:H14 A16:H16 A15:B15 D15:H15 A18:H18 A17:B17 D17:H17 A20:H21 A19:B19 D19:H19">
    <cfRule type="expression" dxfId="20" priority="4">
      <formula>RIGHT($A14,3)="000"</formula>
    </cfRule>
  </conditionalFormatting>
  <conditionalFormatting sqref="C15">
    <cfRule type="expression" dxfId="19" priority="3">
      <formula>RIGHT($A15,3)="000"</formula>
    </cfRule>
  </conditionalFormatting>
  <conditionalFormatting sqref="C17">
    <cfRule type="expression" dxfId="18" priority="2">
      <formula>RIGHT($A17,3)="000"</formula>
    </cfRule>
  </conditionalFormatting>
  <conditionalFormatting sqref="C19">
    <cfRule type="expression" dxfId="17" priority="1">
      <formula>RIGHT($A19,3)="000"</formula>
    </cfRule>
  </conditionalFormatting>
  <dataValidations count="4"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21">
      <formula1>"U,ens,ml,m²,m³,Fo,Kg,T"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:B21">
      <formula1>"F &amp; P,F"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21">
      <formula1>"1,2,3"</formula1>
    </dataValidation>
    <dataValidation type="custom" allowBlank="1" showErrorMessage="1" errorTitle="Erreur de saisie" error="Veuillez saisir le nom en majuscules et sans symbole &quot;/&quot;" sqref="C10:J10">
      <formula1>EXACT(C10,UPPER(C10))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3236" r:id="rId4" name="TauxPlusValue">
          <controlPr defaultSize="0" print="0" disabled="1" autoLine="0" r:id="rId5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23236" r:id="rId4" name="TauxPlusValue"/>
      </mc:Fallback>
    </mc:AlternateContent>
    <mc:AlternateContent xmlns:mc="http://schemas.openxmlformats.org/markup-compatibility/2006">
      <mc:Choice Requires="x14">
        <control shapeId="223235" r:id="rId6" name="PlusValue">
          <controlPr defaultSize="0" print="0" disabled="1" autoLine="0" r:id="rId7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23235" r:id="rId6" name="PlusValue"/>
      </mc:Fallback>
    </mc:AlternateContent>
    <mc:AlternateContent xmlns:mc="http://schemas.openxmlformats.org/markup-compatibility/2006">
      <mc:Choice Requires="x14">
        <control shapeId="223234" r:id="rId8" name="Presta">
          <controlPr defaultSize="0" print="0" disabled="1" autoLine="0" r:id="rId9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23234" r:id="rId8" name="Presta"/>
      </mc:Fallback>
    </mc:AlternateContent>
    <mc:AlternateContent xmlns:mc="http://schemas.openxmlformats.org/markup-compatibility/2006">
      <mc:Choice Requires="x14">
        <control shapeId="223233" r:id="rId10" name="Mode">
          <controlPr defaultSize="0" print="0" autoLine="0" r:id="rId11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23233" r:id="rId10" name="Mode"/>
      </mc:Fallback>
    </mc:AlternateContent>
  </controls>
  <tableParts count="1">
    <tablePart r:id="rId1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theme="3"/>
  </sheetPr>
  <dimension ref="A1:P20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51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ht="11.25" x14ac:dyDescent="0.2">
      <c r="A14" s="18"/>
      <c r="B14" s="19"/>
      <c r="C14" s="13"/>
      <c r="D14" s="14"/>
      <c r="E14" s="14"/>
      <c r="F14" s="15"/>
      <c r="G14" s="16"/>
      <c r="H14" s="20"/>
      <c r="I14" s="29" t="str">
        <f>IF(AND(RIGHT(Plafondssuspendus1[[#This Row],[INDEX]],3)&lt;&gt;"000",Plafondssuspendus1[[#This Row],[INDEX]]&lt;&gt;""),Plafondssuspendus1[[#This Row],[QUANTITE]]*Plafondssuspendus1[[#This Row],[P.U.]],"")</f>
        <v/>
      </c>
      <c r="J14" s="22" t="str">
        <f>IF(AND(RIGHT(Plafondssuspendus1[[#This Row],[INDEX]],3)&lt;&gt;"000",Plafondssuspendus1[[#This Row],[INDEX]]&lt;&gt;""),IF(Plafondssuspendus1[[#This Row],[PRESTA]]="F","1","1"),"")</f>
        <v/>
      </c>
    </row>
    <row r="15" spans="1:16" ht="18" customHeight="1" x14ac:dyDescent="0.2">
      <c r="C15" s="1"/>
      <c r="D15" s="1"/>
      <c r="E15" s="1"/>
      <c r="F15" s="1"/>
      <c r="G15" s="1"/>
      <c r="H15" s="1"/>
      <c r="I15" s="1"/>
      <c r="J15" s="1"/>
    </row>
    <row r="16" spans="1:16" ht="18" customHeight="1" x14ac:dyDescent="0.2">
      <c r="C16" s="56" t="s">
        <v>2</v>
      </c>
      <c r="D16" s="1"/>
      <c r="E16" s="1"/>
      <c r="F16" s="1"/>
      <c r="G16" s="5" t="s">
        <v>57</v>
      </c>
      <c r="H16" s="6"/>
      <c r="I16" s="105">
        <f>SUM(Plafondssuspendus1[TOTAL H.T.])</f>
        <v>0</v>
      </c>
      <c r="J16" s="106"/>
    </row>
    <row r="17" spans="3:10" ht="18" customHeight="1" x14ac:dyDescent="0.2">
      <c r="C17" s="4" t="s">
        <v>1</v>
      </c>
      <c r="D17" s="1"/>
      <c r="E17" s="1"/>
      <c r="F17" s="1"/>
      <c r="G17" s="7" t="s">
        <v>59</v>
      </c>
      <c r="H17" s="8"/>
      <c r="I17" s="107">
        <f>SUMIF(Plafondssuspendus1[TVA],"1",Plafondssuspendus1[TOTAL H.T.])*20%</f>
        <v>0</v>
      </c>
      <c r="J17" s="108"/>
    </row>
    <row r="18" spans="3:10" ht="18" customHeight="1" x14ac:dyDescent="0.2">
      <c r="C18" s="1"/>
      <c r="D18" s="1"/>
      <c r="E18" s="1"/>
      <c r="F18" s="1"/>
      <c r="G18" s="7" t="s">
        <v>60</v>
      </c>
      <c r="H18" s="9"/>
      <c r="I18" s="107">
        <f>SUMIF(Plafondssuspendus1[TVA],"2",Plafondssuspendus1[TOTAL H.T.])*10%</f>
        <v>0</v>
      </c>
      <c r="J18" s="108"/>
    </row>
    <row r="19" spans="3:10" ht="18" customHeight="1" x14ac:dyDescent="0.2">
      <c r="C19" s="1"/>
      <c r="D19" s="1"/>
      <c r="E19" s="1"/>
      <c r="F19" s="1"/>
      <c r="G19" s="7" t="s">
        <v>61</v>
      </c>
      <c r="H19" s="9"/>
      <c r="I19" s="107">
        <f>SUMIF(Plafondssuspendus1[TVA],"3",Plafondssuspendus1[TOTAL H.T.])*5.5%</f>
        <v>0</v>
      </c>
      <c r="J19" s="108"/>
    </row>
    <row r="20" spans="3:10" ht="18" customHeight="1" x14ac:dyDescent="0.2">
      <c r="C20" s="1"/>
      <c r="D20" s="1"/>
      <c r="E20" s="1"/>
      <c r="F20" s="1"/>
      <c r="G20" s="10" t="s">
        <v>58</v>
      </c>
      <c r="H20" s="11"/>
      <c r="I20" s="100">
        <f>SUM(I16:I19)</f>
        <v>0</v>
      </c>
      <c r="J20" s="101"/>
    </row>
  </sheetData>
  <sheetProtection sheet="1" objects="1" scenarios="1" insertRows="0" deleteRows="0" selectLockedCells="1"/>
  <dataConsolidate/>
  <mergeCells count="7">
    <mergeCell ref="I20:J20"/>
    <mergeCell ref="C10:J10"/>
    <mergeCell ref="C11:J11"/>
    <mergeCell ref="I16:J16"/>
    <mergeCell ref="I17:J17"/>
    <mergeCell ref="I18:J18"/>
    <mergeCell ref="I19:J19"/>
  </mergeCells>
  <conditionalFormatting sqref="B14">
    <cfRule type="cellIs" dxfId="16" priority="2" operator="equal">
      <formula>"F"</formula>
    </cfRule>
    <cfRule type="cellIs" dxfId="15" priority="3" operator="equal">
      <formula>"F &amp; P"</formula>
    </cfRule>
  </conditionalFormatting>
  <conditionalFormatting sqref="A14:H14">
    <cfRule type="expression" dxfId="14" priority="1">
      <formula>RIGHT($A14,3)="000"</formula>
    </cfRule>
  </conditionalFormatting>
  <dataValidations count="4">
    <dataValidation type="custom" allowBlank="1" showErrorMessage="1" errorTitle="Erreur de saisie" error="Veuillez saisir le nom en majuscules et sans symbole &quot;/&quot;" sqref="C10:J10">
      <formula1>EXACT(C10,UPPER(C10))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">
      <formula1>"1,2,3"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">
      <formula1>"F &amp; P,F"</formula1>
    </dataValidation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">
      <formula1>"U,ens,ml,m²,m³,Fo,Kg,T"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8353" r:id="rId4" name="Mode">
          <controlPr defaultSize="0" print="0" autoLine="0" r:id="rId5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28353" r:id="rId4" name="Mode"/>
      </mc:Fallback>
    </mc:AlternateContent>
    <mc:AlternateContent xmlns:mc="http://schemas.openxmlformats.org/markup-compatibility/2006">
      <mc:Choice Requires="x14">
        <control shapeId="228354" r:id="rId6" name="Presta">
          <controlPr defaultSize="0" print="0" disabled="1" autoLine="0" r:id="rId7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28354" r:id="rId6" name="Presta"/>
      </mc:Fallback>
    </mc:AlternateContent>
    <mc:AlternateContent xmlns:mc="http://schemas.openxmlformats.org/markup-compatibility/2006">
      <mc:Choice Requires="x14">
        <control shapeId="228355" r:id="rId8" name="PlusValue">
          <controlPr defaultSize="0" print="0" disabled="1" autoLine="0" r:id="rId9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28355" r:id="rId8" name="PlusValue"/>
      </mc:Fallback>
    </mc:AlternateContent>
    <mc:AlternateContent xmlns:mc="http://schemas.openxmlformats.org/markup-compatibility/2006">
      <mc:Choice Requires="x14">
        <control shapeId="228356" r:id="rId10" name="TauxPlusValue">
          <controlPr defaultSize="0" print="0" disabled="1" autoLine="0" r:id="rId11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28356" r:id="rId10" name="TauxPlusValue"/>
      </mc:Fallback>
    </mc:AlternateContent>
  </controls>
  <tableParts count="1">
    <tablePart r:id="rId1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theme="0" tint="-0.249977111117893"/>
  </sheetPr>
  <dimension ref="A1:P34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46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1.25" x14ac:dyDescent="0.2">
      <c r="A14" s="18" t="s">
        <v>134</v>
      </c>
      <c r="B14" s="19" t="s">
        <v>52</v>
      </c>
      <c r="C14" s="13">
        <v>1</v>
      </c>
      <c r="D14" s="14" t="s">
        <v>135</v>
      </c>
      <c r="E14" s="34"/>
      <c r="F14" s="15"/>
      <c r="G14" s="16"/>
      <c r="H14" s="20"/>
      <c r="I14" s="20" t="str">
        <f>IF(AND(RIGHT(Platrerie1[[#This Row],[INDEX]],3)&lt;&gt;"000",Platrerie1[[#This Row],[INDEX]]&lt;&gt;""),Platrerie1[[#This Row],[QUANTITE]]*Platrerie1[[#This Row],[P.U.]],"")</f>
        <v/>
      </c>
      <c r="J14" s="35" t="str">
        <f>IF(AND(RIGHT(Platrerie1[[#This Row],[INDEX]],3)&lt;&gt;"000",Platrerie1[[#This Row],[INDEX]]&lt;&gt;""),IF(Platrerie1[[#This Row],[PRESTA]]="F","1","1"),"")</f>
        <v/>
      </c>
    </row>
    <row r="15" spans="1:16" s="33" customFormat="1" ht="213.75" x14ac:dyDescent="0.2">
      <c r="A15" s="18" t="s">
        <v>136</v>
      </c>
      <c r="B15" s="19" t="s">
        <v>52</v>
      </c>
      <c r="C15" s="13" t="str">
        <f>C$14&amp;"."&amp;COUNTA(C$14:C14)</f>
        <v>1.1</v>
      </c>
      <c r="D15" s="17" t="s">
        <v>163</v>
      </c>
      <c r="E15" s="34"/>
      <c r="F15" s="15" t="s">
        <v>4</v>
      </c>
      <c r="G15" s="16"/>
      <c r="H15" s="20">
        <v>23.75</v>
      </c>
      <c r="I15" s="20">
        <f>IF(AND(RIGHT(Platrerie1[[#This Row],[INDEX]],3)&lt;&gt;"000",Platrerie1[[#This Row],[INDEX]]&lt;&gt;""),Platrerie1[[#This Row],[QUANTITE]]*Platrerie1[[#This Row],[P.U.]],"")</f>
        <v>0</v>
      </c>
      <c r="J15" s="35" t="str">
        <f>IF(AND(RIGHT(Platrerie1[[#This Row],[INDEX]],3)&lt;&gt;"000",Platrerie1[[#This Row],[INDEX]]&lt;&gt;""),IF(Platrerie1[[#This Row],[PRESTA]]="F","1","1"),"")</f>
        <v>1</v>
      </c>
    </row>
    <row r="16" spans="1:16" s="33" customFormat="1" ht="11.25" x14ac:dyDescent="0.2">
      <c r="A16" s="18" t="s">
        <v>137</v>
      </c>
      <c r="B16" s="19" t="s">
        <v>52</v>
      </c>
      <c r="C16" s="13">
        <v>2</v>
      </c>
      <c r="D16" s="14" t="s">
        <v>138</v>
      </c>
      <c r="E16" s="34"/>
      <c r="F16" s="15"/>
      <c r="G16" s="16"/>
      <c r="H16" s="20"/>
      <c r="I16" s="20" t="str">
        <f>IF(AND(RIGHT(Platrerie1[[#This Row],[INDEX]],3)&lt;&gt;"000",Platrerie1[[#This Row],[INDEX]]&lt;&gt;""),Platrerie1[[#This Row],[QUANTITE]]*Platrerie1[[#This Row],[P.U.]],"")</f>
        <v/>
      </c>
      <c r="J16" s="35" t="str">
        <f>IF(AND(RIGHT(Platrerie1[[#This Row],[INDEX]],3)&lt;&gt;"000",Platrerie1[[#This Row],[INDEX]]&lt;&gt;""),IF(Platrerie1[[#This Row],[PRESTA]]="F","1","1"),"")</f>
        <v/>
      </c>
    </row>
    <row r="17" spans="1:10" s="33" customFormat="1" ht="213.75" x14ac:dyDescent="0.2">
      <c r="A17" s="18" t="s">
        <v>139</v>
      </c>
      <c r="B17" s="19" t="s">
        <v>52</v>
      </c>
      <c r="C17" s="13" t="str">
        <f>C$16&amp;"."&amp;COUNTA(C$16:C16)</f>
        <v>2.1</v>
      </c>
      <c r="D17" s="17" t="s">
        <v>164</v>
      </c>
      <c r="E17" s="34"/>
      <c r="F17" s="15" t="s">
        <v>4</v>
      </c>
      <c r="G17" s="16"/>
      <c r="H17" s="20">
        <v>23.5</v>
      </c>
      <c r="I17" s="20">
        <f>IF(AND(RIGHT(Platrerie1[[#This Row],[INDEX]],3)&lt;&gt;"000",Platrerie1[[#This Row],[INDEX]]&lt;&gt;""),Platrerie1[[#This Row],[QUANTITE]]*Platrerie1[[#This Row],[P.U.]],"")</f>
        <v>0</v>
      </c>
      <c r="J17" s="35" t="str">
        <f>IF(AND(RIGHT(Platrerie1[[#This Row],[INDEX]],3)&lt;&gt;"000",Platrerie1[[#This Row],[INDEX]]&lt;&gt;""),IF(Platrerie1[[#This Row],[PRESTA]]="F","1","1"),"")</f>
        <v>1</v>
      </c>
    </row>
    <row r="18" spans="1:10" s="33" customFormat="1" ht="11.25" x14ac:dyDescent="0.2">
      <c r="A18" s="18" t="s">
        <v>140</v>
      </c>
      <c r="B18" s="19" t="s">
        <v>52</v>
      </c>
      <c r="C18" s="13">
        <v>3</v>
      </c>
      <c r="D18" s="14" t="s">
        <v>141</v>
      </c>
      <c r="E18" s="34"/>
      <c r="F18" s="15"/>
      <c r="G18" s="16"/>
      <c r="H18" s="20"/>
      <c r="I18" s="20" t="str">
        <f>IF(AND(RIGHT(Platrerie1[[#This Row],[INDEX]],3)&lt;&gt;"000",Platrerie1[[#This Row],[INDEX]]&lt;&gt;""),Platrerie1[[#This Row],[QUANTITE]]*Platrerie1[[#This Row],[P.U.]],"")</f>
        <v/>
      </c>
      <c r="J18" s="35" t="str">
        <f>IF(AND(RIGHT(Platrerie1[[#This Row],[INDEX]],3)&lt;&gt;"000",Platrerie1[[#This Row],[INDEX]]&lt;&gt;""),IF(Platrerie1[[#This Row],[PRESTA]]="F","1","1"),"")</f>
        <v/>
      </c>
    </row>
    <row r="19" spans="1:10" s="33" customFormat="1" ht="213.75" x14ac:dyDescent="0.2">
      <c r="A19" s="18" t="s">
        <v>142</v>
      </c>
      <c r="B19" s="19" t="s">
        <v>52</v>
      </c>
      <c r="C19" s="13" t="str">
        <f>C$18&amp;"."&amp;COUNTA(C$18:C18)</f>
        <v>3.1</v>
      </c>
      <c r="D19" s="17" t="s">
        <v>165</v>
      </c>
      <c r="E19" s="34"/>
      <c r="F19" s="15" t="s">
        <v>4</v>
      </c>
      <c r="G19" s="16"/>
      <c r="H19" s="20">
        <v>34</v>
      </c>
      <c r="I19" s="20">
        <f>IF(AND(RIGHT(Platrerie1[[#This Row],[INDEX]],3)&lt;&gt;"000",Platrerie1[[#This Row],[INDEX]]&lt;&gt;""),Platrerie1[[#This Row],[QUANTITE]]*Platrerie1[[#This Row],[P.U.]],"")</f>
        <v>0</v>
      </c>
      <c r="J19" s="35" t="str">
        <f>IF(AND(RIGHT(Platrerie1[[#This Row],[INDEX]],3)&lt;&gt;"000",Platrerie1[[#This Row],[INDEX]]&lt;&gt;""),IF(Platrerie1[[#This Row],[PRESTA]]="F","1","1"),"")</f>
        <v>1</v>
      </c>
    </row>
    <row r="20" spans="1:10" s="33" customFormat="1" ht="67.5" x14ac:dyDescent="0.2">
      <c r="A20" s="18" t="s">
        <v>143</v>
      </c>
      <c r="B20" s="19" t="s">
        <v>52</v>
      </c>
      <c r="C20" s="13" t="str">
        <f>C$18&amp;"."&amp;COUNTA(C$18:C19)</f>
        <v>3.2</v>
      </c>
      <c r="D20" s="17" t="s">
        <v>166</v>
      </c>
      <c r="E20" s="34"/>
      <c r="F20" s="15" t="s">
        <v>4</v>
      </c>
      <c r="G20" s="16"/>
      <c r="H20" s="20">
        <v>62</v>
      </c>
      <c r="I20" s="20">
        <f>IF(AND(RIGHT(Platrerie1[[#This Row],[INDEX]],3)&lt;&gt;"000",Platrerie1[[#This Row],[INDEX]]&lt;&gt;""),Platrerie1[[#This Row],[QUANTITE]]*Platrerie1[[#This Row],[P.U.]],"")</f>
        <v>0</v>
      </c>
      <c r="J20" s="35" t="str">
        <f>IF(AND(RIGHT(Platrerie1[[#This Row],[INDEX]],3)&lt;&gt;"000",Platrerie1[[#This Row],[INDEX]]&lt;&gt;""),IF(Platrerie1[[#This Row],[PRESTA]]="F","1","1"),"")</f>
        <v>1</v>
      </c>
    </row>
    <row r="21" spans="1:10" s="33" customFormat="1" ht="56.25" x14ac:dyDescent="0.2">
      <c r="A21" s="18" t="s">
        <v>144</v>
      </c>
      <c r="B21" s="19" t="s">
        <v>52</v>
      </c>
      <c r="C21" s="13" t="str">
        <f>C$18&amp;"."&amp;COUNTA(C$18:C20)</f>
        <v>3.3</v>
      </c>
      <c r="D21" s="17" t="s">
        <v>167</v>
      </c>
      <c r="E21" s="34"/>
      <c r="F21" s="15" t="s">
        <v>4</v>
      </c>
      <c r="G21" s="16"/>
      <c r="H21" s="20">
        <v>13</v>
      </c>
      <c r="I21" s="20">
        <f>IF(AND(RIGHT(Platrerie1[[#This Row],[INDEX]],3)&lt;&gt;"000",Platrerie1[[#This Row],[INDEX]]&lt;&gt;""),Platrerie1[[#This Row],[QUANTITE]]*Platrerie1[[#This Row],[P.U.]],"")</f>
        <v>0</v>
      </c>
      <c r="J21" s="35" t="str">
        <f>IF(AND(RIGHT(Platrerie1[[#This Row],[INDEX]],3)&lt;&gt;"000",Platrerie1[[#This Row],[INDEX]]&lt;&gt;""),IF(Platrerie1[[#This Row],[PRESTA]]="F","1","1"),"")</f>
        <v>1</v>
      </c>
    </row>
    <row r="22" spans="1:10" s="33" customFormat="1" ht="11.25" x14ac:dyDescent="0.2">
      <c r="A22" s="18" t="s">
        <v>145</v>
      </c>
      <c r="B22" s="19" t="s">
        <v>52</v>
      </c>
      <c r="C22" s="13">
        <v>4</v>
      </c>
      <c r="D22" s="14" t="s">
        <v>128</v>
      </c>
      <c r="E22" s="34"/>
      <c r="F22" s="15"/>
      <c r="G22" s="16"/>
      <c r="H22" s="20"/>
      <c r="I22" s="20" t="str">
        <f>IF(AND(RIGHT(Platrerie1[[#This Row],[INDEX]],3)&lt;&gt;"000",Platrerie1[[#This Row],[INDEX]]&lt;&gt;""),Platrerie1[[#This Row],[QUANTITE]]*Platrerie1[[#This Row],[P.U.]],"")</f>
        <v/>
      </c>
      <c r="J22" s="35" t="str">
        <f>IF(AND(RIGHT(Platrerie1[[#This Row],[INDEX]],3)&lt;&gt;"000",Platrerie1[[#This Row],[INDEX]]&lt;&gt;""),IF(Platrerie1[[#This Row],[PRESTA]]="F","1","1"),"")</f>
        <v/>
      </c>
    </row>
    <row r="23" spans="1:10" s="33" customFormat="1" ht="33.75" x14ac:dyDescent="0.2">
      <c r="A23" s="18">
        <v>0</v>
      </c>
      <c r="B23" s="19" t="s">
        <v>52</v>
      </c>
      <c r="C23" s="13" t="str">
        <f>C$22&amp;"."&amp;COUNTA(C$22:C22)</f>
        <v>4.1</v>
      </c>
      <c r="D23" s="17" t="s">
        <v>172</v>
      </c>
      <c r="E23" s="34"/>
      <c r="F23" s="15" t="s">
        <v>6</v>
      </c>
      <c r="G23" s="16"/>
      <c r="H23" s="20">
        <v>150</v>
      </c>
      <c r="I23" s="20">
        <f>IF(AND(RIGHT(Platrerie1[[#This Row],[INDEX]],3)&lt;&gt;"000",Platrerie1[[#This Row],[INDEX]]&lt;&gt;""),Platrerie1[[#This Row],[QUANTITE]]*Platrerie1[[#This Row],[P.U.]],"")</f>
        <v>0</v>
      </c>
      <c r="J23" s="35" t="str">
        <f>IF(AND(RIGHT(Platrerie1[[#This Row],[INDEX]],3)&lt;&gt;"000",Platrerie1[[#This Row],[INDEX]]&lt;&gt;""),IF(Platrerie1[[#This Row],[PRESTA]]="F","1","1"),"")</f>
        <v>1</v>
      </c>
    </row>
    <row r="24" spans="1:10" s="33" customFormat="1" ht="45" x14ac:dyDescent="0.2">
      <c r="A24" s="18">
        <v>0</v>
      </c>
      <c r="B24" s="19" t="s">
        <v>52</v>
      </c>
      <c r="C24" s="13" t="str">
        <f>C$22&amp;"."&amp;COUNTA(C$22:C23)</f>
        <v>4.2</v>
      </c>
      <c r="D24" s="17" t="s">
        <v>171</v>
      </c>
      <c r="E24" s="34"/>
      <c r="F24" s="15" t="s">
        <v>5</v>
      </c>
      <c r="G24" s="16"/>
      <c r="H24" s="20">
        <v>3.5</v>
      </c>
      <c r="I24" s="20">
        <f>IF(AND(RIGHT(Platrerie1[[#This Row],[INDEX]],3)&lt;&gt;"000",Platrerie1[[#This Row],[INDEX]]&lt;&gt;""),Platrerie1[[#This Row],[QUANTITE]]*Platrerie1[[#This Row],[P.U.]],"")</f>
        <v>0</v>
      </c>
      <c r="J24" s="35" t="str">
        <f>IF(AND(RIGHT(Platrerie1[[#This Row],[INDEX]],3)&lt;&gt;"000",Platrerie1[[#This Row],[INDEX]]&lt;&gt;""),IF(Platrerie1[[#This Row],[PRESTA]]="F","1","1"),"")</f>
        <v>1</v>
      </c>
    </row>
    <row r="25" spans="1:10" s="33" customFormat="1" ht="33.75" x14ac:dyDescent="0.2">
      <c r="A25" s="18">
        <v>0</v>
      </c>
      <c r="B25" s="19" t="s">
        <v>52</v>
      </c>
      <c r="C25" s="13" t="str">
        <f>C$22&amp;"."&amp;COUNTA(C$22:C24)</f>
        <v>4.3</v>
      </c>
      <c r="D25" s="17" t="s">
        <v>170</v>
      </c>
      <c r="E25" s="34"/>
      <c r="F25" s="15" t="s">
        <v>5</v>
      </c>
      <c r="G25" s="16"/>
      <c r="H25" s="20">
        <v>6</v>
      </c>
      <c r="I25" s="20">
        <f>IF(AND(RIGHT(Platrerie1[[#This Row],[INDEX]],3)&lt;&gt;"000",Platrerie1[[#This Row],[INDEX]]&lt;&gt;""),Platrerie1[[#This Row],[QUANTITE]]*Platrerie1[[#This Row],[P.U.]],"")</f>
        <v>0</v>
      </c>
      <c r="J25" s="35" t="str">
        <f>IF(AND(RIGHT(Platrerie1[[#This Row],[INDEX]],3)&lt;&gt;"000",Platrerie1[[#This Row],[INDEX]]&lt;&gt;""),IF(Platrerie1[[#This Row],[PRESTA]]="F","1","1"),"")</f>
        <v>1</v>
      </c>
    </row>
    <row r="26" spans="1:10" s="33" customFormat="1" ht="22.5" x14ac:dyDescent="0.2">
      <c r="A26" s="18">
        <v>0</v>
      </c>
      <c r="B26" s="19" t="s">
        <v>52</v>
      </c>
      <c r="C26" s="13" t="str">
        <f>C$22&amp;"."&amp;COUNTA(C$22:C25)</f>
        <v>4.4</v>
      </c>
      <c r="D26" s="50" t="s">
        <v>169</v>
      </c>
      <c r="E26" s="34"/>
      <c r="F26" s="15" t="s">
        <v>6</v>
      </c>
      <c r="G26" s="16"/>
      <c r="H26" s="20">
        <v>80</v>
      </c>
      <c r="I26" s="20">
        <f>IF(AND(RIGHT(Platrerie1[[#This Row],[INDEX]],3)&lt;&gt;"000",Platrerie1[[#This Row],[INDEX]]&lt;&gt;""),Platrerie1[[#This Row],[QUANTITE]]*Platrerie1[[#This Row],[P.U.]],"")</f>
        <v>0</v>
      </c>
      <c r="J26" s="35" t="str">
        <f>IF(AND(RIGHT(Platrerie1[[#This Row],[INDEX]],3)&lt;&gt;"000",Platrerie1[[#This Row],[INDEX]]&lt;&gt;""),IF(Platrerie1[[#This Row],[PRESTA]]="F","1","1"),"")</f>
        <v>1</v>
      </c>
    </row>
    <row r="27" spans="1:10" s="33" customFormat="1" ht="90" x14ac:dyDescent="0.2">
      <c r="A27" s="18">
        <v>0</v>
      </c>
      <c r="B27" s="19" t="s">
        <v>52</v>
      </c>
      <c r="C27" s="13" t="str">
        <f>C$22&amp;"."&amp;COUNTA(C$22:C26)</f>
        <v>4.5</v>
      </c>
      <c r="D27" s="17" t="s">
        <v>168</v>
      </c>
      <c r="E27" s="34"/>
      <c r="F27" s="15" t="s">
        <v>7</v>
      </c>
      <c r="G27" s="16"/>
      <c r="H27" s="20">
        <v>130</v>
      </c>
      <c r="I27" s="20">
        <f>IF(AND(RIGHT(Platrerie1[[#This Row],[INDEX]],3)&lt;&gt;"000",Platrerie1[[#This Row],[INDEX]]&lt;&gt;""),Platrerie1[[#This Row],[QUANTITE]]*Platrerie1[[#This Row],[P.U.]],"")</f>
        <v>0</v>
      </c>
      <c r="J27" s="35" t="str">
        <f>IF(AND(RIGHT(Platrerie1[[#This Row],[INDEX]],3)&lt;&gt;"000",Platrerie1[[#This Row],[INDEX]]&lt;&gt;""),IF(Platrerie1[[#This Row],[PRESTA]]="F","1","1"),"")</f>
        <v>1</v>
      </c>
    </row>
    <row r="28" spans="1:10" ht="11.25" x14ac:dyDescent="0.2">
      <c r="A28" s="18"/>
      <c r="B28" s="19"/>
      <c r="C28" s="13"/>
      <c r="D28" s="14"/>
      <c r="E28" s="14"/>
      <c r="F28" s="15"/>
      <c r="G28" s="16"/>
      <c r="H28" s="20"/>
      <c r="I28" s="29" t="str">
        <f>IF(AND(RIGHT(Platrerie1[[#This Row],[INDEX]],3)&lt;&gt;"000",Platrerie1[[#This Row],[INDEX]]&lt;&gt;""),Platrerie1[[#This Row],[QUANTITE]]*Platrerie1[[#This Row],[P.U.]],"")</f>
        <v/>
      </c>
      <c r="J28" s="22" t="str">
        <f>IF(AND(RIGHT(Platrerie1[[#This Row],[INDEX]],3)&lt;&gt;"000",Platrerie1[[#This Row],[INDEX]]&lt;&gt;""),IF(Platrerie1[[#This Row],[PRESTA]]="F","1","1"),"")</f>
        <v/>
      </c>
    </row>
    <row r="29" spans="1:10" ht="18" customHeight="1" x14ac:dyDescent="0.2">
      <c r="C29" s="1"/>
      <c r="D29" s="1"/>
      <c r="E29" s="1"/>
      <c r="F29" s="1"/>
      <c r="G29" s="1"/>
      <c r="H29" s="1"/>
      <c r="I29" s="1"/>
      <c r="J29" s="1"/>
    </row>
    <row r="30" spans="1:10" ht="18" customHeight="1" x14ac:dyDescent="0.2">
      <c r="C30" s="56" t="s">
        <v>2</v>
      </c>
      <c r="D30" s="1"/>
      <c r="E30" s="1"/>
      <c r="F30" s="1"/>
      <c r="G30" s="5" t="s">
        <v>57</v>
      </c>
      <c r="H30" s="6"/>
      <c r="I30" s="105">
        <f>SUM(Platrerie1[TOTAL H.T.])</f>
        <v>0</v>
      </c>
      <c r="J30" s="106"/>
    </row>
    <row r="31" spans="1:10" ht="18" customHeight="1" x14ac:dyDescent="0.2">
      <c r="C31" s="4" t="s">
        <v>1</v>
      </c>
      <c r="D31" s="1"/>
      <c r="E31" s="1"/>
      <c r="F31" s="1"/>
      <c r="G31" s="7" t="s">
        <v>59</v>
      </c>
      <c r="H31" s="8"/>
      <c r="I31" s="107">
        <f>SUMIF(Platrerie1[TVA],"1",Platrerie1[TOTAL H.T.])*20%</f>
        <v>0</v>
      </c>
      <c r="J31" s="108"/>
    </row>
    <row r="32" spans="1:10" ht="18" customHeight="1" x14ac:dyDescent="0.2">
      <c r="C32" s="1"/>
      <c r="D32" s="1"/>
      <c r="E32" s="1"/>
      <c r="F32" s="1"/>
      <c r="G32" s="7" t="s">
        <v>60</v>
      </c>
      <c r="H32" s="9"/>
      <c r="I32" s="107">
        <f>SUMIF(Platrerie1[TVA],"2",Platrerie1[TOTAL H.T.])*10%</f>
        <v>0</v>
      </c>
      <c r="J32" s="108"/>
    </row>
    <row r="33" spans="3:10" ht="18" customHeight="1" x14ac:dyDescent="0.2">
      <c r="C33" s="1"/>
      <c r="D33" s="1"/>
      <c r="E33" s="1"/>
      <c r="F33" s="1"/>
      <c r="G33" s="7" t="s">
        <v>61</v>
      </c>
      <c r="H33" s="9"/>
      <c r="I33" s="107">
        <f>SUMIF(Platrerie1[TVA],"3",Platrerie1[TOTAL H.T.])*5.5%</f>
        <v>0</v>
      </c>
      <c r="J33" s="108"/>
    </row>
    <row r="34" spans="3:10" ht="18" customHeight="1" x14ac:dyDescent="0.2">
      <c r="C34" s="1"/>
      <c r="D34" s="1"/>
      <c r="E34" s="1"/>
      <c r="F34" s="1"/>
      <c r="G34" s="10" t="s">
        <v>58</v>
      </c>
      <c r="H34" s="11"/>
      <c r="I34" s="100">
        <f>SUM(I30:I33)</f>
        <v>0</v>
      </c>
      <c r="J34" s="101"/>
    </row>
  </sheetData>
  <sheetProtection sheet="1" objects="1" scenarios="1" insertRows="0" deleteRows="0" selectLockedCells="1"/>
  <dataConsolidate/>
  <mergeCells count="7">
    <mergeCell ref="I34:J34"/>
    <mergeCell ref="C10:J10"/>
    <mergeCell ref="C11:J11"/>
    <mergeCell ref="I30:J30"/>
    <mergeCell ref="I31:J31"/>
    <mergeCell ref="I32:J32"/>
    <mergeCell ref="I33:J33"/>
  </mergeCells>
  <conditionalFormatting sqref="B14:B28">
    <cfRule type="cellIs" dxfId="13" priority="3" operator="equal">
      <formula>"F"</formula>
    </cfRule>
    <cfRule type="cellIs" dxfId="12" priority="4" operator="equal">
      <formula>"F &amp; P"</formula>
    </cfRule>
  </conditionalFormatting>
  <conditionalFormatting sqref="A14:H14 A28:H28 A15:B27 D15:H27">
    <cfRule type="expression" dxfId="11" priority="2">
      <formula>RIGHT($A14,3)="000"</formula>
    </cfRule>
  </conditionalFormatting>
  <conditionalFormatting sqref="C15:C27">
    <cfRule type="expression" dxfId="10" priority="1">
      <formula>RIGHT($A15,3)="000"</formula>
    </cfRule>
  </conditionalFormatting>
  <dataValidations count="4">
    <dataValidation type="custom" allowBlank="1" showErrorMessage="1" errorTitle="Erreur de saisie" error="Veuillez saisir le nom en majuscules et sans symbole &quot;/&quot;" sqref="C10:J10">
      <formula1>EXACT(C10,UPPER(C10))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28">
      <formula1>"1,2,3"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:B28">
      <formula1>"F &amp; P,F"</formula1>
    </dataValidation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28">
      <formula1>"U,ens,ml,m²,m³,Fo,Kg,T"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6308" r:id="rId4" name="TauxPlusValue">
          <controlPr defaultSize="0" print="0" disabled="1" autoLine="0" r:id="rId5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26308" r:id="rId4" name="TauxPlusValue"/>
      </mc:Fallback>
    </mc:AlternateContent>
    <mc:AlternateContent xmlns:mc="http://schemas.openxmlformats.org/markup-compatibility/2006">
      <mc:Choice Requires="x14">
        <control shapeId="226307" r:id="rId6" name="PlusValue">
          <controlPr defaultSize="0" print="0" disabled="1" autoLine="0" r:id="rId7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26307" r:id="rId6" name="PlusValue"/>
      </mc:Fallback>
    </mc:AlternateContent>
    <mc:AlternateContent xmlns:mc="http://schemas.openxmlformats.org/markup-compatibility/2006">
      <mc:Choice Requires="x14">
        <control shapeId="226306" r:id="rId8" name="Presta">
          <controlPr defaultSize="0" print="0" disabled="1" autoLine="0" r:id="rId9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26306" r:id="rId8" name="Presta"/>
      </mc:Fallback>
    </mc:AlternateContent>
    <mc:AlternateContent xmlns:mc="http://schemas.openxmlformats.org/markup-compatibility/2006">
      <mc:Choice Requires="x14">
        <control shapeId="226305" r:id="rId10" name="Mode">
          <controlPr defaultSize="0" print="0" autoLine="0" r:id="rId11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26305" r:id="rId10" name="Mode"/>
      </mc:Fallback>
    </mc:AlternateContent>
  </controls>
  <tableParts count="1">
    <tablePart r:id="rId1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>
    <tabColor rgb="FF7030A0"/>
  </sheetPr>
  <dimension ref="A1:P31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47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s="33" customFormat="1" ht="11.25" x14ac:dyDescent="0.2">
      <c r="A14" s="41" t="s">
        <v>162</v>
      </c>
      <c r="B14" s="19"/>
      <c r="C14" s="13">
        <v>1</v>
      </c>
      <c r="D14" s="14" t="s">
        <v>173</v>
      </c>
      <c r="E14" s="34"/>
      <c r="F14" s="15"/>
      <c r="G14" s="16"/>
      <c r="H14" s="20"/>
      <c r="I14" s="20" t="str">
        <f>IF(AND(RIGHT(Peinture1[[#This Row],[INDEX]],3)&lt;&gt;"000",Peinture1[[#This Row],[INDEX]]&lt;&gt;""),Peinture1[[#This Row],[QUANTITE]]*Peinture1[[#This Row],[P.U.]],"")</f>
        <v/>
      </c>
      <c r="J14" s="35" t="str">
        <f>IF(AND(RIGHT(Peinture1[[#This Row],[INDEX]],3)&lt;&gt;"000",Peinture1[[#This Row],[INDEX]]&lt;&gt;""),IF(Peinture1[[#This Row],[PRESTA]]="F","1","1"),"")</f>
        <v/>
      </c>
    </row>
    <row r="15" spans="1:16" s="33" customFormat="1" ht="33.75" x14ac:dyDescent="0.2">
      <c r="A15" s="18"/>
      <c r="B15" s="19"/>
      <c r="C15" s="13" t="str">
        <f>C$14&amp;"."&amp;COUNTA(C$14:C14)</f>
        <v>1.1</v>
      </c>
      <c r="D15" s="17" t="s">
        <v>174</v>
      </c>
      <c r="E15" s="34"/>
      <c r="F15" s="15" t="s">
        <v>4</v>
      </c>
      <c r="G15" s="52" t="s">
        <v>175</v>
      </c>
      <c r="H15" s="20"/>
      <c r="I15" s="20" t="str">
        <f>IF(AND(RIGHT(Peinture1[[#This Row],[INDEX]],3)&lt;&gt;"000",Peinture1[[#This Row],[INDEX]]&lt;&gt;""),Peinture1[[#This Row],[QUANTITE]]*Peinture1[[#This Row],[P.U.]],"")</f>
        <v/>
      </c>
      <c r="J15" s="35" t="str">
        <f>IF(AND(RIGHT(Peinture1[[#This Row],[INDEX]],3)&lt;&gt;"000",Peinture1[[#This Row],[INDEX]]&lt;&gt;""),IF(Peinture1[[#This Row],[PRESTA]]="F","1","1"),"")</f>
        <v/>
      </c>
    </row>
    <row r="16" spans="1:16" s="33" customFormat="1" ht="78.75" x14ac:dyDescent="0.2">
      <c r="A16" s="18">
        <v>0</v>
      </c>
      <c r="B16" s="19" t="s">
        <v>52</v>
      </c>
      <c r="C16" s="13" t="str">
        <f>C$14&amp;"."&amp;COUNTA(C$14:C15)</f>
        <v>1.2</v>
      </c>
      <c r="D16" s="17" t="s">
        <v>176</v>
      </c>
      <c r="E16" s="34"/>
      <c r="F16" s="15" t="s">
        <v>4</v>
      </c>
      <c r="G16" s="16" t="e">
        <f>SUM(G17:G19)</f>
        <v>#REF!</v>
      </c>
      <c r="H16" s="20">
        <v>13</v>
      </c>
      <c r="I16" s="20" t="e">
        <f>IF(AND(RIGHT(Peinture1[[#This Row],[INDEX]],3)&lt;&gt;"000",Peinture1[[#This Row],[INDEX]]&lt;&gt;""),Peinture1[[#This Row],[QUANTITE]]*Peinture1[[#This Row],[P.U.]],"")</f>
        <v>#REF!</v>
      </c>
      <c r="J16" s="35" t="str">
        <f>IF(AND(RIGHT(Peinture1[[#This Row],[INDEX]],3)&lt;&gt;"000",Peinture1[[#This Row],[INDEX]]&lt;&gt;""),IF(Peinture1[[#This Row],[PRESTA]]="F","1","1"),"")</f>
        <v>1</v>
      </c>
    </row>
    <row r="17" spans="1:10" s="33" customFormat="1" ht="11.25" x14ac:dyDescent="0.2">
      <c r="A17" s="18"/>
      <c r="B17" s="19"/>
      <c r="C17" s="13"/>
      <c r="D17" s="42" t="s">
        <v>177</v>
      </c>
      <c r="E17" s="38"/>
      <c r="F17" s="39" t="s">
        <v>4</v>
      </c>
      <c r="G17" s="40" t="e">
        <f>#REF!</f>
        <v>#REF!</v>
      </c>
      <c r="H17" s="20"/>
      <c r="I17" s="20" t="str">
        <f>IF(AND(RIGHT(Peinture1[[#This Row],[INDEX]],3)&lt;&gt;"000",Peinture1[[#This Row],[INDEX]]&lt;&gt;""),Peinture1[[#This Row],[QUANTITE]]*Peinture1[[#This Row],[P.U.]],"")</f>
        <v/>
      </c>
      <c r="J17" s="35" t="str">
        <f>IF(AND(RIGHT(Peinture1[[#This Row],[INDEX]],3)&lt;&gt;"000",Peinture1[[#This Row],[INDEX]]&lt;&gt;""),IF(Peinture1[[#This Row],[PRESTA]]="F","1","1"),"")</f>
        <v/>
      </c>
    </row>
    <row r="18" spans="1:10" s="33" customFormat="1" ht="11.25" x14ac:dyDescent="0.2">
      <c r="A18" s="18"/>
      <c r="B18" s="19"/>
      <c r="C18" s="13"/>
      <c r="D18" s="42" t="s">
        <v>178</v>
      </c>
      <c r="E18" s="38"/>
      <c r="F18" s="39" t="s">
        <v>4</v>
      </c>
      <c r="G18" s="40" t="e">
        <f>#REF!</f>
        <v>#REF!</v>
      </c>
      <c r="H18" s="20"/>
      <c r="I18" s="20" t="str">
        <f>IF(AND(RIGHT(Peinture1[[#This Row],[INDEX]],3)&lt;&gt;"000",Peinture1[[#This Row],[INDEX]]&lt;&gt;""),Peinture1[[#This Row],[QUANTITE]]*Peinture1[[#This Row],[P.U.]],"")</f>
        <v/>
      </c>
      <c r="J18" s="35" t="str">
        <f>IF(AND(RIGHT(Peinture1[[#This Row],[INDEX]],3)&lt;&gt;"000",Peinture1[[#This Row],[INDEX]]&lt;&gt;""),IF(Peinture1[[#This Row],[PRESTA]]="F","1","1"),"")</f>
        <v/>
      </c>
    </row>
    <row r="19" spans="1:10" s="33" customFormat="1" ht="22.5" x14ac:dyDescent="0.2">
      <c r="A19" s="18"/>
      <c r="B19" s="19"/>
      <c r="C19" s="13"/>
      <c r="D19" s="49" t="s">
        <v>180</v>
      </c>
      <c r="E19" s="38"/>
      <c r="F19" s="39" t="s">
        <v>4</v>
      </c>
      <c r="G19" s="40" t="e">
        <f>#REF!+#REF!*2+#REF!*2-#REF!</f>
        <v>#REF!</v>
      </c>
      <c r="H19" s="20"/>
      <c r="I19" s="20" t="str">
        <f>IF(AND(RIGHT(Peinture1[[#This Row],[INDEX]],3)&lt;&gt;"000",Peinture1[[#This Row],[INDEX]]&lt;&gt;""),Peinture1[[#This Row],[QUANTITE]]*Peinture1[[#This Row],[P.U.]],"")</f>
        <v/>
      </c>
      <c r="J19" s="35" t="str">
        <f>IF(AND(RIGHT(Peinture1[[#This Row],[INDEX]],3)&lt;&gt;"000",Peinture1[[#This Row],[INDEX]]&lt;&gt;""),IF(Peinture1[[#This Row],[PRESTA]]="F","1","1"),"")</f>
        <v/>
      </c>
    </row>
    <row r="20" spans="1:10" s="33" customFormat="1" ht="112.5" x14ac:dyDescent="0.2">
      <c r="A20" s="18">
        <v>0</v>
      </c>
      <c r="B20" s="19" t="s">
        <v>52</v>
      </c>
      <c r="C20" s="13" t="str">
        <f>C$14&amp;"."&amp;COUNTA(C$14:C19)</f>
        <v>1.3</v>
      </c>
      <c r="D20" s="17" t="s">
        <v>179</v>
      </c>
      <c r="E20" s="34"/>
      <c r="F20" s="15" t="s">
        <v>4</v>
      </c>
      <c r="G20" s="16">
        <f>G21</f>
        <v>0</v>
      </c>
      <c r="H20" s="20">
        <v>12</v>
      </c>
      <c r="I20" s="20">
        <f>IF(AND(RIGHT(Peinture1[[#This Row],[INDEX]],3)&lt;&gt;"000",Peinture1[[#This Row],[INDEX]]&lt;&gt;""),Peinture1[[#This Row],[QUANTITE]]*Peinture1[[#This Row],[P.U.]],"")</f>
        <v>0</v>
      </c>
      <c r="J20" s="35" t="str">
        <f>IF(AND(RIGHT(Peinture1[[#This Row],[INDEX]],3)&lt;&gt;"000",Peinture1[[#This Row],[INDEX]]&lt;&gt;""),IF(Peinture1[[#This Row],[PRESTA]]="F","1","1"),"")</f>
        <v>1</v>
      </c>
    </row>
    <row r="21" spans="1:10" s="33" customFormat="1" ht="22.5" x14ac:dyDescent="0.2">
      <c r="A21" s="18"/>
      <c r="B21" s="19"/>
      <c r="C21" s="13"/>
      <c r="D21" s="49" t="s">
        <v>234</v>
      </c>
      <c r="E21" s="38"/>
      <c r="F21" s="39" t="s">
        <v>4</v>
      </c>
      <c r="G21" s="40">
        <f>G22*2*0.83*2.04</f>
        <v>0</v>
      </c>
      <c r="H21" s="20"/>
      <c r="I21" s="20" t="str">
        <f>IF(AND(RIGHT(Peinture1[[#This Row],[INDEX]],3)&lt;&gt;"000",Peinture1[[#This Row],[INDEX]]&lt;&gt;""),Peinture1[[#This Row],[QUANTITE]]*Peinture1[[#This Row],[P.U.]],"")</f>
        <v/>
      </c>
      <c r="J21" s="35" t="str">
        <f>IF(AND(RIGHT(Peinture1[[#This Row],[INDEX]],3)&lt;&gt;"000",Peinture1[[#This Row],[INDEX]]&lt;&gt;""),IF(Peinture1[[#This Row],[PRESTA]]="F","1","1"),"")</f>
        <v/>
      </c>
    </row>
    <row r="22" spans="1:10" s="33" customFormat="1" ht="22.5" x14ac:dyDescent="0.2">
      <c r="A22" s="18">
        <v>0</v>
      </c>
      <c r="B22" s="19" t="s">
        <v>52</v>
      </c>
      <c r="C22" s="13" t="str">
        <f>C$14&amp;"."&amp;COUNTA(C$14:C21)</f>
        <v>1.4</v>
      </c>
      <c r="D22" s="17" t="s">
        <v>181</v>
      </c>
      <c r="E22" s="34"/>
      <c r="F22" s="15" t="s">
        <v>7</v>
      </c>
      <c r="G22" s="16"/>
      <c r="H22" s="20">
        <v>25</v>
      </c>
      <c r="I22" s="20">
        <f>IF(AND(RIGHT(Peinture1[[#This Row],[INDEX]],3)&lt;&gt;"000",Peinture1[[#This Row],[INDEX]]&lt;&gt;""),Peinture1[[#This Row],[QUANTITE]]*Peinture1[[#This Row],[P.U.]],"")</f>
        <v>0</v>
      </c>
      <c r="J22" s="35" t="str">
        <f>IF(AND(RIGHT(Peinture1[[#This Row],[INDEX]],3)&lt;&gt;"000",Peinture1[[#This Row],[INDEX]]&lt;&gt;""),IF(Peinture1[[#This Row],[PRESTA]]="F","1","1"),"")</f>
        <v>1</v>
      </c>
    </row>
    <row r="23" spans="1:10" s="33" customFormat="1" ht="11.25" x14ac:dyDescent="0.2">
      <c r="A23" s="41" t="s">
        <v>162</v>
      </c>
      <c r="B23" s="19"/>
      <c r="C23" s="13">
        <v>2</v>
      </c>
      <c r="D23" s="14" t="s">
        <v>182</v>
      </c>
      <c r="E23" s="34"/>
      <c r="F23" s="15"/>
      <c r="G23" s="16"/>
      <c r="H23" s="20"/>
      <c r="I23" s="20" t="str">
        <f>IF(AND(RIGHT(Peinture1[[#This Row],[INDEX]],3)&lt;&gt;"000",Peinture1[[#This Row],[INDEX]]&lt;&gt;""),Peinture1[[#This Row],[QUANTITE]]*Peinture1[[#This Row],[P.U.]],"")</f>
        <v/>
      </c>
      <c r="J23" s="35" t="str">
        <f>IF(AND(RIGHT(Peinture1[[#This Row],[INDEX]],3)&lt;&gt;"000",Peinture1[[#This Row],[INDEX]]&lt;&gt;""),IF(Peinture1[[#This Row],[PRESTA]]="F","1","1"),"")</f>
        <v/>
      </c>
    </row>
    <row r="24" spans="1:10" s="33" customFormat="1" ht="90" x14ac:dyDescent="0.2">
      <c r="A24" s="41">
        <v>0</v>
      </c>
      <c r="B24" s="19" t="s">
        <v>52</v>
      </c>
      <c r="C24" s="13" t="str">
        <f>C$23&amp;"."&amp;COUNTA(C$23:C23)</f>
        <v>2.1</v>
      </c>
      <c r="D24" s="17" t="s">
        <v>183</v>
      </c>
      <c r="E24" s="34"/>
      <c r="F24" s="15" t="s">
        <v>6</v>
      </c>
      <c r="G24" s="16">
        <v>1</v>
      </c>
      <c r="H24" s="20">
        <v>275</v>
      </c>
      <c r="I24" s="20">
        <f>IF(AND(RIGHT(Peinture1[[#This Row],[INDEX]],3)&lt;&gt;"000",Peinture1[[#This Row],[INDEX]]&lt;&gt;""),Peinture1[[#This Row],[QUANTITE]]*Peinture1[[#This Row],[P.U.]],"")</f>
        <v>275</v>
      </c>
      <c r="J24" s="35" t="str">
        <f>IF(AND(RIGHT(Peinture1[[#This Row],[INDEX]],3)&lt;&gt;"000",Peinture1[[#This Row],[INDEX]]&lt;&gt;""),IF(Peinture1[[#This Row],[PRESTA]]="F","1","1"),"")</f>
        <v>1</v>
      </c>
    </row>
    <row r="25" spans="1:10" ht="11.25" x14ac:dyDescent="0.2">
      <c r="A25" s="18"/>
      <c r="B25" s="19"/>
      <c r="C25" s="13"/>
      <c r="D25" s="14"/>
      <c r="E25" s="14"/>
      <c r="F25" s="15"/>
      <c r="G25" s="16"/>
      <c r="H25" s="20"/>
      <c r="I25" s="29" t="str">
        <f>IF(AND(RIGHT(Peinture1[[#This Row],[INDEX]],3)&lt;&gt;"000",Peinture1[[#This Row],[INDEX]]&lt;&gt;""),Peinture1[[#This Row],[QUANTITE]]*Peinture1[[#This Row],[P.U.]],"")</f>
        <v/>
      </c>
      <c r="J25" s="22" t="str">
        <f>IF(AND(RIGHT(Peinture1[[#This Row],[INDEX]],3)&lt;&gt;"000",Peinture1[[#This Row],[INDEX]]&lt;&gt;""),IF(Peinture1[[#This Row],[PRESTA]]="F","1","1"),"")</f>
        <v/>
      </c>
    </row>
    <row r="26" spans="1:10" ht="18" customHeight="1" x14ac:dyDescent="0.2">
      <c r="C26" s="1"/>
      <c r="D26" s="1"/>
      <c r="E26" s="1"/>
      <c r="F26" s="1"/>
      <c r="G26" s="1"/>
      <c r="H26" s="1"/>
      <c r="I26" s="1"/>
      <c r="J26" s="1"/>
    </row>
    <row r="27" spans="1:10" ht="18" customHeight="1" x14ac:dyDescent="0.2">
      <c r="C27" s="56" t="s">
        <v>2</v>
      </c>
      <c r="D27" s="1"/>
      <c r="E27" s="1"/>
      <c r="F27" s="1"/>
      <c r="G27" s="5" t="s">
        <v>57</v>
      </c>
      <c r="H27" s="6"/>
      <c r="I27" s="105" t="e">
        <f>SUM(Peinture1[TOTAL H.T.])</f>
        <v>#REF!</v>
      </c>
      <c r="J27" s="106"/>
    </row>
    <row r="28" spans="1:10" ht="18" customHeight="1" x14ac:dyDescent="0.2">
      <c r="C28" s="4" t="s">
        <v>1</v>
      </c>
      <c r="D28" s="1"/>
      <c r="E28" s="1"/>
      <c r="F28" s="1"/>
      <c r="G28" s="7" t="s">
        <v>59</v>
      </c>
      <c r="H28" s="8"/>
      <c r="I28" s="107" t="e">
        <f>SUMIF(Peinture1[TVA],"1",Peinture1[TOTAL H.T.])*20%</f>
        <v>#REF!</v>
      </c>
      <c r="J28" s="108"/>
    </row>
    <row r="29" spans="1:10" ht="18" customHeight="1" x14ac:dyDescent="0.2">
      <c r="C29" s="1"/>
      <c r="D29" s="1"/>
      <c r="E29" s="1"/>
      <c r="F29" s="1"/>
      <c r="G29" s="7" t="s">
        <v>60</v>
      </c>
      <c r="H29" s="9"/>
      <c r="I29" s="107">
        <f>SUMIF(Peinture1[TVA],"2",Peinture1[TOTAL H.T.])*10%</f>
        <v>0</v>
      </c>
      <c r="J29" s="108"/>
    </row>
    <row r="30" spans="1:10" ht="18" customHeight="1" x14ac:dyDescent="0.2">
      <c r="C30" s="1"/>
      <c r="D30" s="1"/>
      <c r="E30" s="1"/>
      <c r="F30" s="1"/>
      <c r="G30" s="7" t="s">
        <v>61</v>
      </c>
      <c r="H30" s="9"/>
      <c r="I30" s="107">
        <f>SUMIF(Peinture1[TVA],"3",Peinture1[TOTAL H.T.])*5.5%</f>
        <v>0</v>
      </c>
      <c r="J30" s="108"/>
    </row>
    <row r="31" spans="1:10" ht="18" customHeight="1" x14ac:dyDescent="0.2">
      <c r="C31" s="1"/>
      <c r="D31" s="1"/>
      <c r="E31" s="1"/>
      <c r="F31" s="1"/>
      <c r="G31" s="10" t="s">
        <v>58</v>
      </c>
      <c r="H31" s="11"/>
      <c r="I31" s="100" t="e">
        <f>SUM(I27:I30)</f>
        <v>#REF!</v>
      </c>
      <c r="J31" s="101"/>
    </row>
  </sheetData>
  <sheetProtection sheet="1" objects="1" scenarios="1" insertRows="0" deleteRows="0" selectLockedCells="1"/>
  <dataConsolidate/>
  <mergeCells count="7">
    <mergeCell ref="I31:J31"/>
    <mergeCell ref="C10:J10"/>
    <mergeCell ref="C11:J11"/>
    <mergeCell ref="I27:J27"/>
    <mergeCell ref="I28:J28"/>
    <mergeCell ref="I29:J29"/>
    <mergeCell ref="I30:J30"/>
  </mergeCells>
  <conditionalFormatting sqref="B14:B25">
    <cfRule type="cellIs" dxfId="9" priority="6" operator="equal">
      <formula>"F"</formula>
    </cfRule>
    <cfRule type="cellIs" dxfId="8" priority="7" operator="equal">
      <formula>"F &amp; P"</formula>
    </cfRule>
  </conditionalFormatting>
  <conditionalFormatting sqref="A17:C19 H17:H19 A21:C21 H21 A14:H16 A20:H20 A22:H25">
    <cfRule type="expression" dxfId="7" priority="5">
      <formula>RIGHT($A14,3)="000"</formula>
    </cfRule>
  </conditionalFormatting>
  <conditionalFormatting sqref="D19:G19">
    <cfRule type="expression" dxfId="6" priority="4">
      <formula>RIGHT($A19,3)="000"</formula>
    </cfRule>
  </conditionalFormatting>
  <conditionalFormatting sqref="D17:G17">
    <cfRule type="expression" dxfId="5" priority="3">
      <formula>RIGHT($A17,3)="000"</formula>
    </cfRule>
  </conditionalFormatting>
  <conditionalFormatting sqref="D18:G18">
    <cfRule type="expression" dxfId="4" priority="2">
      <formula>RIGHT($A18,3)="000"</formula>
    </cfRule>
  </conditionalFormatting>
  <conditionalFormatting sqref="D21:G21">
    <cfRule type="expression" dxfId="3" priority="1">
      <formula>RIGHT($A21,3)="000"</formula>
    </cfRule>
  </conditionalFormatting>
  <dataValidations count="4"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:F25">
      <formula1>"U,ens,ml,m²,m³,Fo,Kg,T"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:B25">
      <formula1>"F &amp; P,F"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:J25">
      <formula1>"1,2,3"</formula1>
    </dataValidation>
    <dataValidation type="custom" allowBlank="1" showErrorMessage="1" errorTitle="Erreur de saisie" error="Veuillez saisir le nom en majuscules et sans symbole &quot;/&quot;" sqref="C10:J10">
      <formula1>EXACT(C10,UPPER(C10))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36545" r:id="rId4" name="Mode">
          <controlPr defaultSize="0" print="0" autoLine="0" r:id="rId5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36545" r:id="rId4" name="Mode"/>
      </mc:Fallback>
    </mc:AlternateContent>
    <mc:AlternateContent xmlns:mc="http://schemas.openxmlformats.org/markup-compatibility/2006">
      <mc:Choice Requires="x14">
        <control shapeId="236546" r:id="rId6" name="Presta">
          <controlPr defaultSize="0" print="0" disabled="1" autoLine="0" r:id="rId7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36546" r:id="rId6" name="Presta"/>
      </mc:Fallback>
    </mc:AlternateContent>
    <mc:AlternateContent xmlns:mc="http://schemas.openxmlformats.org/markup-compatibility/2006">
      <mc:Choice Requires="x14">
        <control shapeId="236547" r:id="rId8" name="PlusValue">
          <controlPr defaultSize="0" print="0" disabled="1" autoLine="0" r:id="rId9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36547" r:id="rId8" name="PlusValue"/>
      </mc:Fallback>
    </mc:AlternateContent>
    <mc:AlternateContent xmlns:mc="http://schemas.openxmlformats.org/markup-compatibility/2006">
      <mc:Choice Requires="x14">
        <control shapeId="236548" r:id="rId10" name="TauxPlusValue">
          <controlPr defaultSize="0" print="0" disabled="1" autoLine="0" r:id="rId11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36548" r:id="rId10" name="TauxPlusValue"/>
      </mc:Fallback>
    </mc:AlternateContent>
  </controls>
  <tableParts count="1">
    <tablePart r:id="rId1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4">
    <tabColor theme="6" tint="-0.249977111117893"/>
  </sheetPr>
  <dimension ref="A1:P20"/>
  <sheetViews>
    <sheetView zoomScale="130" zoomScaleNormal="130" workbookViewId="0">
      <selection activeCell="C10" sqref="C10:J10"/>
    </sheetView>
  </sheetViews>
  <sheetFormatPr baseColWidth="10" defaultColWidth="0" defaultRowHeight="18" customHeight="1" x14ac:dyDescent="0.2"/>
  <cols>
    <col min="1" max="1" width="9.85546875" style="12" bestFit="1" customWidth="1"/>
    <col min="2" max="2" width="9" style="12" bestFit="1" customWidth="1"/>
    <col min="3" max="3" width="3.7109375" style="12" customWidth="1"/>
    <col min="4" max="4" width="46.7109375" style="12" customWidth="1"/>
    <col min="5" max="5" width="10.7109375" style="12" customWidth="1"/>
    <col min="6" max="6" width="3.28515625" style="12" customWidth="1"/>
    <col min="7" max="7" width="8.7109375" style="12" customWidth="1"/>
    <col min="8" max="9" width="9.7109375" style="12" customWidth="1"/>
    <col min="10" max="10" width="3.7109375" style="12" customWidth="1"/>
    <col min="11" max="11" width="0.140625" style="28" customWidth="1"/>
    <col min="12" max="16384" width="11.42578125" style="28" hidden="1"/>
  </cols>
  <sheetData>
    <row r="1" spans="1:16" ht="16.5" x14ac:dyDescent="0.2">
      <c r="A1" s="21"/>
      <c r="B1" s="21"/>
      <c r="C1" s="1"/>
      <c r="D1" s="23" t="s">
        <v>37</v>
      </c>
      <c r="E1" s="25" t="e">
        <f>#REF!</f>
        <v>#REF!</v>
      </c>
      <c r="F1" s="1"/>
      <c r="G1" s="1"/>
      <c r="H1" s="1"/>
      <c r="I1" s="2"/>
      <c r="J1" s="2"/>
    </row>
    <row r="2" spans="1:16" ht="13.5" x14ac:dyDescent="0.2">
      <c r="A2" s="21"/>
      <c r="B2" s="21"/>
      <c r="C2" s="1"/>
      <c r="D2" s="24" t="e">
        <f>#REF!</f>
        <v>#REF!</v>
      </c>
      <c r="E2" s="26" t="e">
        <f>#REF!</f>
        <v>#REF!</v>
      </c>
      <c r="F2" s="1"/>
      <c r="G2" s="1"/>
      <c r="H2" s="1"/>
      <c r="I2" s="1"/>
      <c r="J2" s="1"/>
    </row>
    <row r="3" spans="1:16" ht="13.5" x14ac:dyDescent="0.2">
      <c r="A3" s="21"/>
      <c r="B3" s="21"/>
      <c r="C3" s="1"/>
      <c r="D3" s="24" t="e">
        <f>#REF!</f>
        <v>#REF!</v>
      </c>
      <c r="E3" s="26" t="e">
        <f>#REF!</f>
        <v>#REF!</v>
      </c>
      <c r="F3" s="1"/>
      <c r="G3" s="1"/>
      <c r="H3" s="1"/>
      <c r="I3" s="1"/>
      <c r="J3" s="1"/>
    </row>
    <row r="4" spans="1:16" ht="13.5" x14ac:dyDescent="0.2">
      <c r="A4" s="21"/>
      <c r="B4" s="21"/>
      <c r="C4" s="1"/>
      <c r="D4" s="24" t="e">
        <f>#REF!</f>
        <v>#REF!</v>
      </c>
      <c r="E4" s="27" t="e">
        <f>CONCATENATE("N° dossier : ",#REF!)</f>
        <v>#REF!</v>
      </c>
      <c r="F4" s="1"/>
      <c r="G4" s="1"/>
      <c r="H4" s="1"/>
      <c r="I4" s="1"/>
      <c r="J4" s="1"/>
    </row>
    <row r="5" spans="1:16" ht="11.25" x14ac:dyDescent="0.2">
      <c r="A5" s="21"/>
      <c r="B5" s="21"/>
      <c r="C5" s="1"/>
      <c r="D5" s="1"/>
      <c r="E5" s="1"/>
      <c r="F5" s="1"/>
      <c r="G5" s="1"/>
      <c r="H5" s="1"/>
      <c r="I5" s="1"/>
      <c r="J5" s="1"/>
    </row>
    <row r="6" spans="1:16" ht="13.5" x14ac:dyDescent="0.2">
      <c r="A6" s="30"/>
      <c r="B6" s="21"/>
      <c r="C6" s="1"/>
      <c r="D6" s="1"/>
      <c r="E6" s="26" t="e">
        <f>#REF!</f>
        <v>#REF!</v>
      </c>
      <c r="F6" s="1"/>
      <c r="G6" s="1"/>
      <c r="H6" s="1"/>
      <c r="I6" s="1"/>
      <c r="J6" s="1"/>
    </row>
    <row r="7" spans="1:16" ht="13.5" x14ac:dyDescent="0.2">
      <c r="A7" s="21"/>
      <c r="B7" s="21"/>
      <c r="C7" s="1"/>
      <c r="D7" s="1"/>
      <c r="E7" s="26" t="e">
        <f>CONCATENATE("Localisation projet : ",#REF!)</f>
        <v>#REF!</v>
      </c>
      <c r="F7" s="1"/>
      <c r="G7" s="1"/>
      <c r="H7" s="1"/>
      <c r="I7" s="1"/>
      <c r="J7" s="1"/>
    </row>
    <row r="8" spans="1:16" ht="13.5" x14ac:dyDescent="0.2">
      <c r="A8" s="21"/>
      <c r="B8" s="21"/>
      <c r="C8" s="3" t="e">
        <f>CONCATENATE("Réalisé par : ",#REF!)</f>
        <v>#REF!</v>
      </c>
      <c r="D8" s="1"/>
      <c r="E8" s="26" t="e">
        <f>CONCATENATE("plan de référence : ",#REF!)</f>
        <v>#REF!</v>
      </c>
      <c r="F8" s="1"/>
      <c r="G8" s="1"/>
      <c r="H8" s="1"/>
      <c r="I8" s="1"/>
      <c r="J8" s="1"/>
    </row>
    <row r="9" spans="1:16" ht="11.25" x14ac:dyDescent="0.2">
      <c r="A9" s="21"/>
      <c r="B9" s="21"/>
      <c r="C9" s="1"/>
      <c r="D9" s="1"/>
      <c r="E9" s="1"/>
      <c r="F9" s="1"/>
      <c r="G9" s="1"/>
      <c r="H9" s="1"/>
      <c r="I9" s="1"/>
      <c r="J9" s="1"/>
    </row>
    <row r="10" spans="1:16" ht="39.950000000000003" customHeight="1" x14ac:dyDescent="0.2">
      <c r="A10" s="21"/>
      <c r="B10" s="21"/>
      <c r="C10" s="109" t="s">
        <v>48</v>
      </c>
      <c r="D10" s="109"/>
      <c r="E10" s="109"/>
      <c r="F10" s="109"/>
      <c r="G10" s="109"/>
      <c r="H10" s="109"/>
      <c r="I10" s="109"/>
      <c r="J10" s="109"/>
    </row>
    <row r="11" spans="1:16" ht="75" customHeight="1" x14ac:dyDescent="0.2">
      <c r="A11" s="21"/>
      <c r="B11" s="21"/>
      <c r="C11" s="110" t="s">
        <v>65</v>
      </c>
      <c r="D11" s="104"/>
      <c r="E11" s="104"/>
      <c r="F11" s="104"/>
      <c r="G11" s="104"/>
      <c r="H11" s="104"/>
      <c r="I11" s="104"/>
      <c r="J11" s="104"/>
      <c r="M11" s="18"/>
      <c r="N11" s="18"/>
      <c r="O11" s="18"/>
      <c r="P11" s="18"/>
    </row>
    <row r="12" spans="1:16" ht="11.25" x14ac:dyDescent="0.2">
      <c r="A12" s="21"/>
      <c r="B12" s="21"/>
      <c r="C12" s="1"/>
      <c r="D12" s="1"/>
      <c r="E12" s="1"/>
      <c r="F12" s="1"/>
      <c r="G12" s="1"/>
      <c r="H12" s="1"/>
      <c r="I12" s="1"/>
      <c r="J12" s="43">
        <f>PROGRAMME!G1</f>
        <v>0</v>
      </c>
    </row>
    <row r="13" spans="1:16" s="33" customFormat="1" ht="11.25" x14ac:dyDescent="0.2">
      <c r="A13" s="31" t="s">
        <v>53</v>
      </c>
      <c r="B13" s="31" t="s">
        <v>62</v>
      </c>
      <c r="C13" s="32" t="s">
        <v>9</v>
      </c>
      <c r="D13" s="32" t="s">
        <v>54</v>
      </c>
      <c r="E13" s="32" t="s">
        <v>63</v>
      </c>
      <c r="F13" s="32" t="s">
        <v>3</v>
      </c>
      <c r="G13" s="32" t="s">
        <v>55</v>
      </c>
      <c r="H13" s="32" t="s">
        <v>0</v>
      </c>
      <c r="I13" s="32" t="s">
        <v>8</v>
      </c>
      <c r="J13" s="32" t="s">
        <v>56</v>
      </c>
    </row>
    <row r="14" spans="1:16" ht="11.25" x14ac:dyDescent="0.2">
      <c r="A14" s="18"/>
      <c r="B14" s="19"/>
      <c r="C14" s="13"/>
      <c r="D14" s="14"/>
      <c r="E14" s="14"/>
      <c r="F14" s="15"/>
      <c r="G14" s="16"/>
      <c r="H14" s="20"/>
      <c r="I14" s="29" t="str">
        <f>IF(AND(RIGHT(Amenagementsexterieurs1[[#This Row],[INDEX]],3)&lt;&gt;"000",Amenagementsexterieurs1[[#This Row],[INDEX]]&lt;&gt;""),Amenagementsexterieurs1[[#This Row],[QUANTITE]]*Amenagementsexterieurs1[[#This Row],[P.U.]],"")</f>
        <v/>
      </c>
      <c r="J14" s="22" t="str">
        <f>IF(AND(RIGHT(Amenagementsexterieurs1[[#This Row],[INDEX]],3)&lt;&gt;"000",Amenagementsexterieurs1[[#This Row],[INDEX]]&lt;&gt;""),IF(Amenagementsexterieurs1[[#This Row],[PRESTA]]="F","1","1"),"")</f>
        <v/>
      </c>
    </row>
    <row r="15" spans="1:16" ht="18" customHeight="1" x14ac:dyDescent="0.2">
      <c r="C15" s="1"/>
      <c r="D15" s="1"/>
      <c r="E15" s="1"/>
      <c r="F15" s="1"/>
      <c r="G15" s="1"/>
      <c r="H15" s="1"/>
      <c r="I15" s="1"/>
      <c r="J15" s="1"/>
    </row>
    <row r="16" spans="1:16" ht="18" customHeight="1" x14ac:dyDescent="0.2">
      <c r="C16" s="56" t="s">
        <v>2</v>
      </c>
      <c r="D16" s="1"/>
      <c r="E16" s="1"/>
      <c r="F16" s="1"/>
      <c r="G16" s="5" t="s">
        <v>57</v>
      </c>
      <c r="H16" s="6"/>
      <c r="I16" s="105">
        <f>SUM(Amenagementsexterieurs1[TOTAL H.T.])</f>
        <v>0</v>
      </c>
      <c r="J16" s="106"/>
    </row>
    <row r="17" spans="3:10" ht="18" customHeight="1" x14ac:dyDescent="0.2">
      <c r="C17" s="4" t="s">
        <v>1</v>
      </c>
      <c r="D17" s="1"/>
      <c r="E17" s="1"/>
      <c r="F17" s="1"/>
      <c r="G17" s="7" t="s">
        <v>59</v>
      </c>
      <c r="H17" s="8"/>
      <c r="I17" s="107">
        <f>SUMIF(Amenagementsexterieurs1[TVA],"1",Amenagementsexterieurs1[TOTAL H.T.])*20%</f>
        <v>0</v>
      </c>
      <c r="J17" s="108"/>
    </row>
    <row r="18" spans="3:10" ht="18" customHeight="1" x14ac:dyDescent="0.2">
      <c r="C18" s="1"/>
      <c r="D18" s="1"/>
      <c r="E18" s="1"/>
      <c r="F18" s="1"/>
      <c r="G18" s="7" t="s">
        <v>60</v>
      </c>
      <c r="H18" s="9"/>
      <c r="I18" s="107">
        <f>SUMIF(Amenagementsexterieurs1[TVA],"2",Amenagementsexterieurs1[TOTAL H.T.])*10%</f>
        <v>0</v>
      </c>
      <c r="J18" s="108"/>
    </row>
    <row r="19" spans="3:10" ht="18" customHeight="1" x14ac:dyDescent="0.2">
      <c r="C19" s="1"/>
      <c r="D19" s="1"/>
      <c r="E19" s="1"/>
      <c r="F19" s="1"/>
      <c r="G19" s="7" t="s">
        <v>61</v>
      </c>
      <c r="H19" s="9"/>
      <c r="I19" s="107">
        <f>SUMIF(Amenagementsexterieurs1[TVA],"3",Amenagementsexterieurs1[TOTAL H.T.])*5.5%</f>
        <v>0</v>
      </c>
      <c r="J19" s="108"/>
    </row>
    <row r="20" spans="3:10" ht="18" customHeight="1" x14ac:dyDescent="0.2">
      <c r="C20" s="1"/>
      <c r="D20" s="1"/>
      <c r="E20" s="1"/>
      <c r="F20" s="1"/>
      <c r="G20" s="10" t="s">
        <v>58</v>
      </c>
      <c r="H20" s="11"/>
      <c r="I20" s="100">
        <f>SUM(I16:I19)</f>
        <v>0</v>
      </c>
      <c r="J20" s="101"/>
    </row>
  </sheetData>
  <sheetProtection sheet="1" objects="1" scenarios="1" insertRows="0" deleteRows="0" selectLockedCells="1"/>
  <dataConsolidate/>
  <mergeCells count="7">
    <mergeCell ref="I20:J20"/>
    <mergeCell ref="C10:J10"/>
    <mergeCell ref="C11:J11"/>
    <mergeCell ref="I16:J16"/>
    <mergeCell ref="I17:J17"/>
    <mergeCell ref="I18:J18"/>
    <mergeCell ref="I19:J19"/>
  </mergeCells>
  <conditionalFormatting sqref="B14">
    <cfRule type="cellIs" dxfId="2" priority="2" operator="equal">
      <formula>"F"</formula>
    </cfRule>
    <cfRule type="cellIs" dxfId="1" priority="3" operator="equal">
      <formula>"F &amp; P"</formula>
    </cfRule>
  </conditionalFormatting>
  <conditionalFormatting sqref="A14:H14">
    <cfRule type="expression" dxfId="0" priority="1">
      <formula>RIGHT($A14,3)="000"</formula>
    </cfRule>
  </conditionalFormatting>
  <dataValidations count="4">
    <dataValidation type="list" allowBlank="1" showInputMessage="1" showErrorMessage="1" errorTitle="Erreur unité" error="L'unité choisie n'est pas autorisée !" promptTitle="Unités" prompt="U = Unité_x000a_ens = Ensemble_x000a_ml   = Mètre linéaire_x000a_m²  = Mètre carré_x000a_m³  = Mètre cube_x000a_Fo  = Forfait_x000a_Kg  = Kilogrammes_x000a_T    = Tonnes" sqref="F14">
      <formula1>"U,ens,ml,m²,m³,Fo,Kg,T"</formula1>
    </dataValidation>
    <dataValidation type="list" allowBlank="1" showInputMessage="1" showErrorMessage="1" errorTitle="Erreur choix" error="La prestation choisie n'existe pas !" promptTitle="Choix de la prestation" prompt="F &amp; P = Fourniture et pose_x000a_F = Fourniture seule" sqref="B14">
      <formula1>"F &amp; P,F"</formula1>
    </dataValidation>
    <dataValidation type="list" errorStyle="warning" allowBlank="1" showInputMessage="1" showErrorMessage="1" errorTitle="Erreur TVA" error="Le taux de TVA choisi n'est pas valide !" promptTitle="Taux de TVA" prompt="1 - 20 %_x000a_2 - 10 %_x000a_3 - 5,5 %" sqref="J14">
      <formula1>"1,2,3"</formula1>
    </dataValidation>
    <dataValidation type="custom" allowBlank="1" showErrorMessage="1" errorTitle="Erreur de saisie" error="Veuillez saisir le nom en majuscules et sans symbole &quot;/&quot;" sqref="C10:J10">
      <formula1>EXACT(C10,UPPER(C10))</formula1>
    </dataValidation>
  </dataValidations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38593" r:id="rId4" name="Mode">
          <controlPr defaultSize="0" print="0" autoLine="0" r:id="rId5">
            <anchor moveWithCells="1">
              <from>
                <xdr:col>0</xdr:col>
                <xdr:colOff>66675</xdr:colOff>
                <xdr:row>6</xdr:row>
                <xdr:rowOff>133350</xdr:rowOff>
              </from>
              <to>
                <xdr:col>1</xdr:col>
                <xdr:colOff>533400</xdr:colOff>
                <xdr:row>8</xdr:row>
                <xdr:rowOff>104775</xdr:rowOff>
              </to>
            </anchor>
          </controlPr>
        </control>
      </mc:Choice>
      <mc:Fallback>
        <control shapeId="238593" r:id="rId4" name="Mode"/>
      </mc:Fallback>
    </mc:AlternateContent>
    <mc:AlternateContent xmlns:mc="http://schemas.openxmlformats.org/markup-compatibility/2006">
      <mc:Choice Requires="x14">
        <control shapeId="238594" r:id="rId6" name="Presta">
          <controlPr defaultSize="0" print="0" disabled="1" autoLine="0" r:id="rId7">
            <anchor moveWithCells="1">
              <from>
                <xdr:col>0</xdr:col>
                <xdr:colOff>66675</xdr:colOff>
                <xdr:row>9</xdr:row>
                <xdr:rowOff>152400</xdr:rowOff>
              </from>
              <to>
                <xdr:col>1</xdr:col>
                <xdr:colOff>533400</xdr:colOff>
                <xdr:row>9</xdr:row>
                <xdr:rowOff>466725</xdr:rowOff>
              </to>
            </anchor>
          </controlPr>
        </control>
      </mc:Choice>
      <mc:Fallback>
        <control shapeId="238594" r:id="rId6" name="Presta"/>
      </mc:Fallback>
    </mc:AlternateContent>
    <mc:AlternateContent xmlns:mc="http://schemas.openxmlformats.org/markup-compatibility/2006">
      <mc:Choice Requires="x14">
        <control shapeId="238595" r:id="rId8" name="PlusValue">
          <controlPr defaultSize="0" print="0" disabled="1" autoLine="0" r:id="rId9">
            <anchor moveWithCells="1">
              <from>
                <xdr:col>0</xdr:col>
                <xdr:colOff>66675</xdr:colOff>
                <xdr:row>10</xdr:row>
                <xdr:rowOff>171450</xdr:rowOff>
              </from>
              <to>
                <xdr:col>1</xdr:col>
                <xdr:colOff>200025</xdr:colOff>
                <xdr:row>10</xdr:row>
                <xdr:rowOff>390525</xdr:rowOff>
              </to>
            </anchor>
          </controlPr>
        </control>
      </mc:Choice>
      <mc:Fallback>
        <control shapeId="238595" r:id="rId8" name="PlusValue"/>
      </mc:Fallback>
    </mc:AlternateContent>
    <mc:AlternateContent xmlns:mc="http://schemas.openxmlformats.org/markup-compatibility/2006">
      <mc:Choice Requires="x14">
        <control shapeId="238596" r:id="rId10" name="TauxPlusValue">
          <controlPr defaultSize="0" print="0" disabled="1" autoLine="0" r:id="rId11">
            <anchor moveWithCells="1">
              <from>
                <xdr:col>1</xdr:col>
                <xdr:colOff>238125</xdr:colOff>
                <xdr:row>10</xdr:row>
                <xdr:rowOff>171450</xdr:rowOff>
              </from>
              <to>
                <xdr:col>1</xdr:col>
                <xdr:colOff>514350</xdr:colOff>
                <xdr:row>10</xdr:row>
                <xdr:rowOff>381000</xdr:rowOff>
              </to>
            </anchor>
          </controlPr>
        </control>
      </mc:Choice>
      <mc:Fallback>
        <control shapeId="238596" r:id="rId10" name="TauxPlusValue"/>
      </mc:Fallback>
    </mc:AlternateContent>
  </controls>
  <tableParts count="1"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82</vt:i4>
      </vt:variant>
    </vt:vector>
  </HeadingPairs>
  <TitlesOfParts>
    <vt:vector size="87" baseType="lpstr">
      <vt:lpstr>PROGRAMME</vt:lpstr>
      <vt:lpstr>JOURNAL</vt:lpstr>
      <vt:lpstr>Ouvertures</vt:lpstr>
      <vt:lpstr>Moteur de calcul</vt:lpstr>
      <vt:lpstr>prix</vt:lpstr>
      <vt:lpstr>Choix</vt:lpstr>
      <vt:lpstr>Coffre</vt:lpstr>
      <vt:lpstr>Commande</vt:lpstr>
      <vt:lpstr>Couleur</vt:lpstr>
      <vt:lpstr>Dormant</vt:lpstr>
      <vt:lpstr>Entreedair</vt:lpstr>
      <vt:lpstr>Famille</vt:lpstr>
      <vt:lpstr>Fermeture</vt:lpstr>
      <vt:lpstr>HTAmenagementsexterieurs1</vt:lpstr>
      <vt:lpstr>HTBacacier1</vt:lpstr>
      <vt:lpstr>HTCharpentemetallique1</vt:lpstr>
      <vt:lpstr>HTChassisdetoit1</vt:lpstr>
      <vt:lpstr>HTDemolitions1</vt:lpstr>
      <vt:lpstr>HTEscalier1</vt:lpstr>
      <vt:lpstr>HTEtancheite1</vt:lpstr>
      <vt:lpstr>HTPeinture1</vt:lpstr>
      <vt:lpstr>HTPlafondssuspendus1</vt:lpstr>
      <vt:lpstr>HTPlatrerie1</vt:lpstr>
      <vt:lpstr>HTSerrurerie1</vt:lpstr>
      <vt:lpstr>Métreur</vt:lpstr>
      <vt:lpstr>Montagepetitsbois</vt:lpstr>
      <vt:lpstr>Moteur</vt:lpstr>
      <vt:lpstr>Orientation</vt:lpstr>
      <vt:lpstr>Petitsbois</vt:lpstr>
      <vt:lpstr>Tablier</vt:lpstr>
      <vt:lpstr>TTCAmenagementsexterieurs1</vt:lpstr>
      <vt:lpstr>TTCBacacier1</vt:lpstr>
      <vt:lpstr>TTCCharpentemetallique1</vt:lpstr>
      <vt:lpstr>TTCChassisdetoit1</vt:lpstr>
      <vt:lpstr>TTCDemolitions1</vt:lpstr>
      <vt:lpstr>TTCEscalier1</vt:lpstr>
      <vt:lpstr>TTCEtancheite1</vt:lpstr>
      <vt:lpstr>TTCPeinture1</vt:lpstr>
      <vt:lpstr>TTCPlafondssuspendus1</vt:lpstr>
      <vt:lpstr>TTCPlatrerie1</vt:lpstr>
      <vt:lpstr>TTCSerrurerie1</vt:lpstr>
      <vt:lpstr>TVA10Amenagementsexterieurs1</vt:lpstr>
      <vt:lpstr>TVA10Bacacier1</vt:lpstr>
      <vt:lpstr>TVA10Charpentemetallique1</vt:lpstr>
      <vt:lpstr>TVA10Chassisdetoit1</vt:lpstr>
      <vt:lpstr>TVA10Demolitions1</vt:lpstr>
      <vt:lpstr>TVA10Escalier1</vt:lpstr>
      <vt:lpstr>TVA10Etancheite1</vt:lpstr>
      <vt:lpstr>TVA10Peinture1</vt:lpstr>
      <vt:lpstr>TVA10Plafondssuspendus1</vt:lpstr>
      <vt:lpstr>TVA10Platrerie1</vt:lpstr>
      <vt:lpstr>TVA10Serrurerie1</vt:lpstr>
      <vt:lpstr>TVA20Amenagementsexterieurs1</vt:lpstr>
      <vt:lpstr>TVA20Bacacier1</vt:lpstr>
      <vt:lpstr>TVA20Charpentemetallique1</vt:lpstr>
      <vt:lpstr>TVA20Chassisdetoit1</vt:lpstr>
      <vt:lpstr>TVA20Demolitions1</vt:lpstr>
      <vt:lpstr>TVA20Escalier1</vt:lpstr>
      <vt:lpstr>TVA20Etancheite1</vt:lpstr>
      <vt:lpstr>TVA20Peinture1</vt:lpstr>
      <vt:lpstr>TVA20Plafondssuspendus1</vt:lpstr>
      <vt:lpstr>TVA20Platrerie1</vt:lpstr>
      <vt:lpstr>TVA20Serrurerie1</vt:lpstr>
      <vt:lpstr>TVA55Amenagementsexterieurs1</vt:lpstr>
      <vt:lpstr>TVA55Bacacier1</vt:lpstr>
      <vt:lpstr>TVA55Charpentemetallique1</vt:lpstr>
      <vt:lpstr>TVA55Chassisdetoit1</vt:lpstr>
      <vt:lpstr>TVA55Demolitions1</vt:lpstr>
      <vt:lpstr>TVA55Escalier1</vt:lpstr>
      <vt:lpstr>TVA55Etancheite1</vt:lpstr>
      <vt:lpstr>TVA55Peinture1</vt:lpstr>
      <vt:lpstr>TVA55Plafondssuspendus1</vt:lpstr>
      <vt:lpstr>TVA55Platrerie1</vt:lpstr>
      <vt:lpstr>TVA55Serrurerie1</vt:lpstr>
      <vt:lpstr>Vitrage</vt:lpstr>
      <vt:lpstr>vitrages</vt:lpstr>
      <vt:lpstr>'AMÉNAGEMENTS EXTÉRIEURS'!Zone_d_impression</vt:lpstr>
      <vt:lpstr>'BAC ACIER'!Zone_d_impression</vt:lpstr>
      <vt:lpstr>'CHARPENTE MÉTALLIQUE'!Zone_d_impression</vt:lpstr>
      <vt:lpstr>'CHÂSSIS DE TOIT'!Zone_d_impression</vt:lpstr>
      <vt:lpstr>'DÉMOLITIONS - MODIFICATIONS'!Zone_d_impression</vt:lpstr>
      <vt:lpstr>ESCALIER!Zone_d_impression</vt:lpstr>
      <vt:lpstr>ÉTANCHÉITÉ!Zone_d_impression</vt:lpstr>
      <vt:lpstr>PEINTURE!Zone_d_impression</vt:lpstr>
      <vt:lpstr>'PLAFONDS SUSPENDUS'!Zone_d_impression</vt:lpstr>
      <vt:lpstr>PLÂTRERIE!Zone_d_impression</vt:lpstr>
      <vt:lpstr>SERRURERIE!Zone_d_impression</vt:lpstr>
    </vt:vector>
  </TitlesOfParts>
  <Manager>Alexandre RIVALLAND</Manager>
  <Company>MB CONCEPTION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Estimatif Vierge</dc:title>
  <dc:creator>ALEX</dc:creator>
  <cp:lastModifiedBy>Alexandre - MB Conception</cp:lastModifiedBy>
  <cp:lastPrinted>2016-02-25T10:39:50Z</cp:lastPrinted>
  <dcterms:created xsi:type="dcterms:W3CDTF">2007-09-13T12:39:41Z</dcterms:created>
  <dcterms:modified xsi:type="dcterms:W3CDTF">2017-01-16T15:10:07Z</dcterms:modified>
</cp:coreProperties>
</file>