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3.xml" ContentType="application/vnd.openxmlformats-officedocument.drawing+xml"/>
  <Override PartName="/xl/drawings/drawing4.xml" ContentType="application/vnd.openxmlformats-officedocument.drawing+xml"/>
  <Override PartName="/xl/tables/table1.xml" ContentType="application/vnd.openxmlformats-officedocument.spreadsheetml.table+xml"/>
  <Override PartName="/xl/drawings/drawing5.xml" ContentType="application/vnd.openxmlformats-officedocument.drawing+xml"/>
  <Override PartName="/xl/tables/table2.xml" ContentType="application/vnd.openxmlformats-officedocument.spreadsheetml.table+xml"/>
  <Override PartName="/xl/drawings/drawing6.xml" ContentType="application/vnd.openxmlformats-officedocument.drawing+xml"/>
  <Override PartName="/xl/tables/table3.xml" ContentType="application/vnd.openxmlformats-officedocument.spreadsheetml.table+xml"/>
  <Override PartName="/xl/drawings/drawing7.xml" ContentType="application/vnd.openxmlformats-officedocument.drawing+xml"/>
  <Override PartName="/xl/tables/table4.xml" ContentType="application/vnd.openxmlformats-officedocument.spreadsheetml.table+xml"/>
  <Override PartName="/xl/drawings/drawing8.xml" ContentType="application/vnd.openxmlformats-officedocument.drawing+xml"/>
  <Override PartName="/xl/tables/table5.xml" ContentType="application/vnd.openxmlformats-officedocument.spreadsheetml.table+xml"/>
  <Override PartName="/xl/drawings/drawing9.xml" ContentType="application/vnd.openxmlformats-officedocument.drawing+xml"/>
  <Override PartName="/xl/tables/table6.xml" ContentType="application/vnd.openxmlformats-officedocument.spreadsheetml.table+xml"/>
  <Override PartName="/xl/drawings/drawing10.xml" ContentType="application/vnd.openxmlformats-officedocument.drawing+xml"/>
  <Override PartName="/xl/tables/table7.xml" ContentType="application/vnd.openxmlformats-officedocument.spreadsheetml.table+xml"/>
  <Override PartName="/xl/drawings/drawing11.xml" ContentType="application/vnd.openxmlformats-officedocument.drawing+xml"/>
  <Override PartName="/xl/tables/table8.xml" ContentType="application/vnd.openxmlformats-officedocument.spreadsheetml.table+xml"/>
  <Override PartName="/xl/drawings/drawing12.xml" ContentType="application/vnd.openxmlformats-officedocument.drawing+xml"/>
  <Override PartName="/xl/tables/table9.xml" ContentType="application/vnd.openxmlformats-officedocument.spreadsheetml.table+xml"/>
  <Override PartName="/xl/drawings/drawing13.xml" ContentType="application/vnd.openxmlformats-officedocument.drawing+xml"/>
  <Override PartName="/xl/tables/table10.xml" ContentType="application/vnd.openxmlformats-officedocument.spreadsheetml.table+xml"/>
  <Override PartName="/xl/drawings/drawing14.xml" ContentType="application/vnd.openxmlformats-officedocument.drawing+xml"/>
  <Override PartName="/xl/tables/table11.xml" ContentType="application/vnd.openxmlformats-officedocument.spreadsheetml.table+xml"/>
  <Override PartName="/xl/drawings/drawing15.xml" ContentType="application/vnd.openxmlformats-officedocument.drawing+xml"/>
  <Override PartName="/xl/tables/table1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ay32542\Desktop\"/>
    </mc:Choice>
  </mc:AlternateContent>
  <bookViews>
    <workbookView xWindow="0" yWindow="0" windowWidth="20490" windowHeight="7755" tabRatio="686"/>
  </bookViews>
  <sheets>
    <sheet name="Accueil" sheetId="26" r:id="rId1"/>
    <sheet name="Statistique" sheetId="28" state="hidden" r:id="rId2"/>
    <sheet name="Paramètre" sheetId="27" state="hidden" r:id="rId3"/>
    <sheet name="Janvier" sheetId="4" state="hidden" r:id="rId4"/>
    <sheet name="Février" sheetId="5" state="hidden" r:id="rId5"/>
    <sheet name="Mars" sheetId="17" state="hidden" r:id="rId6"/>
    <sheet name="Avril" sheetId="18" state="hidden" r:id="rId7"/>
    <sheet name="Mai" sheetId="19" state="hidden" r:id="rId8"/>
    <sheet name="Juin" sheetId="20" state="hidden" r:id="rId9"/>
    <sheet name="Juillet" sheetId="21" state="hidden" r:id="rId10"/>
    <sheet name="Août" sheetId="22" state="hidden" r:id="rId11"/>
    <sheet name="Septembre" sheetId="23" state="hidden" r:id="rId12"/>
    <sheet name="Octobre" sheetId="24" state="hidden" r:id="rId13"/>
    <sheet name="Novembre" sheetId="25" state="hidden" r:id="rId14"/>
    <sheet name="Décembre" sheetId="15" state="hidden" r:id="rId15"/>
  </sheets>
  <definedNames>
    <definedName name="AnnéeCalendrier">Janvier!$AH$4</definedName>
    <definedName name="CléCongé">Janvier!$C$2</definedName>
    <definedName name="CléMaladie">Janvier!$J$2</definedName>
    <definedName name="CléPersonnalisée1">Janvier!$M$2</definedName>
    <definedName name="CléPersonnalisée2">Janvier!$R$2</definedName>
    <definedName name="CléPersonnalisée3">Janvier!$W$2</definedName>
    <definedName name="CléPersonnel">Janvier!$F$2</definedName>
    <definedName name="ÉtiquetteCléAutorisé">Janvier!$S$2</definedName>
    <definedName name="ÉtiquetteCléCongé">Janvier!$D$2</definedName>
    <definedName name="ÉtiquetteCléFormation">Janvier!$X$2</definedName>
    <definedName name="ÉtiquetteCléIrrégulière">Janvier!$N$2</definedName>
    <definedName name="ÉtiquetteCléMaladie">Janvier!$K$2</definedName>
    <definedName name="ÉtiquetteCléPersonnalisée1">Janvier!$N$2</definedName>
    <definedName name="ÉtiquetteCléPersonnalisée2">Janvier!$S$2</definedName>
    <definedName name="ÉtiquetteCléPersonnel">Janvier!$G$2</definedName>
    <definedName name="ÉtiquetteCléRécupération">Janvier!$G$2</definedName>
    <definedName name="_xlnm.Print_Titles" localSheetId="10">Août!$4:$6</definedName>
    <definedName name="_xlnm.Print_Titles" localSheetId="6">Avril!$4:$6</definedName>
    <definedName name="_xlnm.Print_Titles" localSheetId="14">Décembre!$4:$6</definedName>
    <definedName name="_xlnm.Print_Titles" localSheetId="4">Février!$4:$6</definedName>
    <definedName name="_xlnm.Print_Titles" localSheetId="3">Janvier!$4:$6</definedName>
    <definedName name="_xlnm.Print_Titles" localSheetId="9">Juillet!$4:$6</definedName>
    <definedName name="_xlnm.Print_Titles" localSheetId="8">Juin!$4:$6</definedName>
    <definedName name="_xlnm.Print_Titles" localSheetId="7">Mai!$4:$6</definedName>
    <definedName name="_xlnm.Print_Titles" localSheetId="5">Mars!$4:$6</definedName>
    <definedName name="_xlnm.Print_Titles" localSheetId="13">Novembre!$4:$6</definedName>
    <definedName name="_xlnm.Print_Titles" localSheetId="12">Octobre!$4:$6</definedName>
    <definedName name="_xlnm.Print_Titles" localSheetId="11">Septembre!$4:$6</definedName>
    <definedName name="liste">Janvier[Nom de l’employé]</definedName>
    <definedName name="Nom_clé">Janvier!$B$2</definedName>
    <definedName name="NomMois" localSheetId="10">Août!$B$4</definedName>
    <definedName name="NomMois" localSheetId="6">Avril!$B$4</definedName>
    <definedName name="NomMois" localSheetId="14">Décembre!$B$4</definedName>
    <definedName name="NomMois" localSheetId="4">Février!$B$4</definedName>
    <definedName name="NomMois" localSheetId="3">Janvier!$B$4</definedName>
    <definedName name="NomMois" localSheetId="9">Juillet!$B$4</definedName>
    <definedName name="NomMois" localSheetId="8">Juin!$B$4</definedName>
    <definedName name="NomMois" localSheetId="7">Mai!$B$4</definedName>
    <definedName name="NomMois" localSheetId="5">Mars!$B$4</definedName>
    <definedName name="NomMois" localSheetId="13">Novembre!$B$4</definedName>
    <definedName name="NomMois" localSheetId="12">Octobre!$B$4</definedName>
    <definedName name="NomMois" localSheetId="11">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#REF!</definedName>
  </definedNames>
  <calcPr calcId="152511"/>
</workbook>
</file>

<file path=xl/calcChain.xml><?xml version="1.0" encoding="utf-8"?>
<calcChain xmlns="http://schemas.openxmlformats.org/spreadsheetml/2006/main">
  <c r="C39" i="28" l="1"/>
  <c r="C40" i="28"/>
  <c r="C41" i="28"/>
  <c r="C42" i="28"/>
  <c r="C43" i="28"/>
  <c r="C44" i="28"/>
  <c r="C45" i="28"/>
  <c r="C46" i="28"/>
  <c r="C47" i="28"/>
  <c r="C48" i="28"/>
  <c r="C49" i="28"/>
  <c r="C50" i="28"/>
  <c r="C51" i="28"/>
  <c r="C52" i="28"/>
  <c r="C53" i="28"/>
  <c r="C54" i="28"/>
  <c r="C55" i="28"/>
  <c r="C56" i="28"/>
  <c r="C57" i="28"/>
  <c r="C58" i="28"/>
  <c r="C59" i="28"/>
  <c r="C60" i="28"/>
  <c r="C61" i="28"/>
  <c r="C62" i="28"/>
  <c r="C63" i="28"/>
  <c r="C64" i="28"/>
  <c r="C65" i="28"/>
  <c r="C37" i="28"/>
  <c r="A39" i="28"/>
  <c r="A40" i="28"/>
  <c r="A41" i="28"/>
  <c r="A42" i="28"/>
  <c r="A43" i="28"/>
  <c r="A44" i="28"/>
  <c r="A45" i="28"/>
  <c r="A46" i="28"/>
  <c r="A47" i="28"/>
  <c r="A48" i="28"/>
  <c r="A49" i="28"/>
  <c r="A50" i="28"/>
  <c r="A51" i="28"/>
  <c r="A52" i="28"/>
  <c r="A53" i="28"/>
  <c r="A54" i="28"/>
  <c r="A55" i="28"/>
  <c r="A56" i="28"/>
  <c r="A57" i="28"/>
  <c r="A58" i="28"/>
  <c r="A59" i="28"/>
  <c r="A60" i="28"/>
  <c r="A61" i="28"/>
  <c r="A62" i="28"/>
  <c r="A63" i="28"/>
  <c r="A64" i="28"/>
  <c r="A65" i="28"/>
  <c r="A37" i="28"/>
  <c r="A38" i="28"/>
  <c r="A36" i="28"/>
  <c r="M14" i="28"/>
  <c r="M13" i="28"/>
  <c r="M12" i="28"/>
  <c r="M11" i="28"/>
  <c r="L14" i="28"/>
  <c r="L13" i="28"/>
  <c r="L12" i="28"/>
  <c r="L11" i="28"/>
  <c r="K14" i="28"/>
  <c r="K13" i="28"/>
  <c r="K12" i="28"/>
  <c r="K11" i="28"/>
  <c r="J14" i="28"/>
  <c r="J13" i="28"/>
  <c r="J12" i="28"/>
  <c r="J11" i="28"/>
  <c r="I14" i="28"/>
  <c r="I13" i="28"/>
  <c r="I12" i="28"/>
  <c r="I11" i="28"/>
  <c r="H14" i="28"/>
  <c r="H13" i="28"/>
  <c r="H12" i="28"/>
  <c r="H11" i="28"/>
  <c r="G14" i="28"/>
  <c r="G13" i="28"/>
  <c r="G12" i="28"/>
  <c r="G11" i="28"/>
  <c r="F14" i="28"/>
  <c r="F13" i="28"/>
  <c r="F12" i="28"/>
  <c r="F11" i="28"/>
  <c r="E14" i="28"/>
  <c r="E13" i="28"/>
  <c r="E12" i="28"/>
  <c r="E11" i="28"/>
  <c r="D14" i="28"/>
  <c r="D13" i="28"/>
  <c r="D12" i="28"/>
  <c r="D11" i="28"/>
  <c r="C14" i="28"/>
  <c r="C13" i="28"/>
  <c r="C12" i="28"/>
  <c r="C11" i="28"/>
  <c r="B14" i="28"/>
  <c r="B13" i="28"/>
  <c r="B12" i="28"/>
  <c r="B11" i="28"/>
  <c r="M10" i="28"/>
  <c r="L10" i="28"/>
  <c r="K10" i="28"/>
  <c r="J10" i="28"/>
  <c r="I10" i="28"/>
  <c r="H10" i="28"/>
  <c r="G10" i="28"/>
  <c r="F10" i="28"/>
  <c r="E10" i="28"/>
  <c r="D10" i="28"/>
  <c r="C10" i="28"/>
  <c r="B10" i="28"/>
  <c r="C15" i="28" l="1"/>
  <c r="D15" i="28"/>
  <c r="L15" i="28"/>
  <c r="K15" i="28"/>
  <c r="H15" i="28"/>
  <c r="G15" i="28"/>
  <c r="I15" i="28"/>
  <c r="M15" i="28"/>
  <c r="F15" i="28"/>
  <c r="J15" i="28"/>
  <c r="B15" i="28"/>
  <c r="E15" i="28"/>
  <c r="B1" i="4"/>
  <c r="AH4" i="4"/>
  <c r="B8" i="15" l="1"/>
  <c r="B9" i="15"/>
  <c r="B10" i="15"/>
  <c r="B11" i="15"/>
  <c r="B12" i="15"/>
  <c r="B13" i="15"/>
  <c r="B14" i="15"/>
  <c r="B15" i="15"/>
  <c r="B16" i="15"/>
  <c r="B17" i="15"/>
  <c r="B18" i="15"/>
  <c r="B19" i="15"/>
  <c r="B20" i="15"/>
  <c r="B21" i="15"/>
  <c r="B22" i="15"/>
  <c r="B23" i="15"/>
  <c r="B24" i="15"/>
  <c r="B25" i="15"/>
  <c r="B26" i="15"/>
  <c r="B27" i="15"/>
  <c r="B28" i="15"/>
  <c r="B29" i="15"/>
  <c r="B30" i="15"/>
  <c r="B31" i="15"/>
  <c r="B32" i="15"/>
  <c r="B33" i="15"/>
  <c r="B34" i="15"/>
  <c r="B35" i="15"/>
  <c r="B36" i="15"/>
  <c r="B7" i="15"/>
  <c r="B8" i="25"/>
  <c r="B9" i="25"/>
  <c r="B10" i="25"/>
  <c r="B11" i="25"/>
  <c r="B12" i="25"/>
  <c r="B13" i="25"/>
  <c r="B14" i="25"/>
  <c r="B15" i="25"/>
  <c r="B16" i="25"/>
  <c r="B17" i="25"/>
  <c r="B18" i="25"/>
  <c r="B19" i="25"/>
  <c r="B20" i="25"/>
  <c r="B21" i="25"/>
  <c r="B22" i="25"/>
  <c r="B23" i="25"/>
  <c r="B24" i="25"/>
  <c r="B25" i="25"/>
  <c r="B26" i="25"/>
  <c r="B27" i="25"/>
  <c r="B28" i="25"/>
  <c r="B29" i="25"/>
  <c r="B30" i="25"/>
  <c r="B31" i="25"/>
  <c r="B32" i="25"/>
  <c r="B33" i="25"/>
  <c r="B34" i="25"/>
  <c r="B35" i="25"/>
  <c r="B36" i="25"/>
  <c r="B7" i="25"/>
  <c r="B8" i="24"/>
  <c r="B9" i="24"/>
  <c r="B10" i="24"/>
  <c r="B11" i="24"/>
  <c r="B12" i="24"/>
  <c r="B13" i="24"/>
  <c r="B14" i="24"/>
  <c r="B15" i="24"/>
  <c r="B16" i="24"/>
  <c r="B17" i="24"/>
  <c r="B18" i="24"/>
  <c r="B19" i="24"/>
  <c r="B20" i="24"/>
  <c r="B21" i="24"/>
  <c r="B22" i="24"/>
  <c r="B23" i="24"/>
  <c r="B24" i="24"/>
  <c r="B25" i="24"/>
  <c r="B26" i="24"/>
  <c r="B27" i="24"/>
  <c r="B28" i="24"/>
  <c r="B29" i="24"/>
  <c r="B30" i="24"/>
  <c r="B31" i="24"/>
  <c r="B32" i="24"/>
  <c r="B33" i="24"/>
  <c r="B34" i="24"/>
  <c r="B35" i="24"/>
  <c r="B36" i="24"/>
  <c r="B7" i="24"/>
  <c r="B8" i="23"/>
  <c r="B9" i="23"/>
  <c r="B10" i="23"/>
  <c r="B11" i="23"/>
  <c r="B12" i="23"/>
  <c r="B13" i="23"/>
  <c r="B14" i="23"/>
  <c r="B15" i="23"/>
  <c r="B16" i="23"/>
  <c r="B17" i="23"/>
  <c r="B18" i="23"/>
  <c r="B19" i="23"/>
  <c r="B20" i="23"/>
  <c r="B21" i="23"/>
  <c r="B22" i="23"/>
  <c r="B23" i="23"/>
  <c r="B24" i="23"/>
  <c r="B25" i="23"/>
  <c r="B26" i="23"/>
  <c r="B27" i="23"/>
  <c r="B28" i="23"/>
  <c r="B29" i="23"/>
  <c r="B30" i="23"/>
  <c r="B31" i="23"/>
  <c r="B32" i="23"/>
  <c r="B33" i="23"/>
  <c r="B34" i="23"/>
  <c r="B35" i="23"/>
  <c r="B36" i="23"/>
  <c r="B7" i="23"/>
  <c r="B8" i="22"/>
  <c r="B9" i="22"/>
  <c r="B10" i="22"/>
  <c r="B11" i="22"/>
  <c r="B12" i="22"/>
  <c r="B13" i="22"/>
  <c r="B14" i="22"/>
  <c r="B15" i="22"/>
  <c r="B16" i="22"/>
  <c r="B17" i="22"/>
  <c r="B18" i="22"/>
  <c r="B19" i="22"/>
  <c r="B20" i="22"/>
  <c r="B21" i="22"/>
  <c r="B22" i="22"/>
  <c r="B23" i="22"/>
  <c r="B24" i="22"/>
  <c r="B25" i="22"/>
  <c r="B26" i="22"/>
  <c r="B27" i="22"/>
  <c r="B28" i="22"/>
  <c r="B29" i="22"/>
  <c r="B30" i="22"/>
  <c r="B31" i="22"/>
  <c r="B32" i="22"/>
  <c r="B33" i="22"/>
  <c r="B34" i="22"/>
  <c r="B35" i="22"/>
  <c r="B36" i="22"/>
  <c r="B7" i="22"/>
  <c r="B8" i="21"/>
  <c r="B9" i="21"/>
  <c r="B10" i="21"/>
  <c r="B11" i="21"/>
  <c r="B12" i="21"/>
  <c r="B13" i="21"/>
  <c r="B14" i="21"/>
  <c r="B15" i="21"/>
  <c r="B16" i="21"/>
  <c r="B17" i="21"/>
  <c r="B18" i="21"/>
  <c r="B19" i="21"/>
  <c r="B20" i="21"/>
  <c r="B21" i="21"/>
  <c r="B22" i="21"/>
  <c r="B23" i="21"/>
  <c r="B24" i="21"/>
  <c r="B25" i="21"/>
  <c r="B26" i="21"/>
  <c r="B27" i="21"/>
  <c r="B28" i="21"/>
  <c r="B29" i="21"/>
  <c r="B30" i="21"/>
  <c r="B31" i="21"/>
  <c r="B32" i="21"/>
  <c r="B33" i="21"/>
  <c r="B34" i="21"/>
  <c r="B35" i="21"/>
  <c r="B36" i="21"/>
  <c r="B7" i="21"/>
  <c r="B8" i="20"/>
  <c r="B9" i="20"/>
  <c r="B10" i="20"/>
  <c r="B11" i="20"/>
  <c r="B12" i="20"/>
  <c r="B13" i="20"/>
  <c r="B14" i="20"/>
  <c r="B15" i="20"/>
  <c r="B16" i="20"/>
  <c r="B17" i="20"/>
  <c r="B18" i="20"/>
  <c r="B19" i="20"/>
  <c r="B20" i="20"/>
  <c r="B21" i="20"/>
  <c r="B22" i="20"/>
  <c r="B23" i="20"/>
  <c r="B24" i="20"/>
  <c r="B25" i="20"/>
  <c r="B26" i="20"/>
  <c r="B27" i="20"/>
  <c r="B28" i="20"/>
  <c r="B29" i="20"/>
  <c r="B30" i="20"/>
  <c r="B31" i="20"/>
  <c r="B32" i="20"/>
  <c r="B33" i="20"/>
  <c r="B34" i="20"/>
  <c r="B35" i="20"/>
  <c r="B36" i="20"/>
  <c r="B7" i="20"/>
  <c r="B8" i="19"/>
  <c r="B9" i="19"/>
  <c r="B10" i="19"/>
  <c r="B11" i="19"/>
  <c r="B12" i="19"/>
  <c r="B13" i="19"/>
  <c r="B14" i="19"/>
  <c r="B15" i="19"/>
  <c r="B16" i="19"/>
  <c r="B17" i="19"/>
  <c r="B18" i="19"/>
  <c r="B19" i="19"/>
  <c r="B20" i="19"/>
  <c r="B21" i="19"/>
  <c r="B22" i="19"/>
  <c r="B23" i="19"/>
  <c r="B24" i="19"/>
  <c r="B25" i="19"/>
  <c r="B26" i="19"/>
  <c r="B27" i="19"/>
  <c r="B28" i="19"/>
  <c r="B29" i="19"/>
  <c r="B30" i="19"/>
  <c r="B31" i="19"/>
  <c r="B32" i="19"/>
  <c r="B33" i="19"/>
  <c r="B34" i="19"/>
  <c r="B35" i="19"/>
  <c r="B36" i="19"/>
  <c r="B7" i="19"/>
  <c r="B8" i="18"/>
  <c r="B9" i="18"/>
  <c r="B10" i="18"/>
  <c r="B11" i="18"/>
  <c r="B12" i="18"/>
  <c r="B13" i="18"/>
  <c r="B14" i="18"/>
  <c r="B15" i="18"/>
  <c r="B16" i="18"/>
  <c r="B17" i="18"/>
  <c r="B18" i="18"/>
  <c r="B19" i="18"/>
  <c r="B20" i="18"/>
  <c r="B21" i="18"/>
  <c r="B22" i="18"/>
  <c r="B23" i="18"/>
  <c r="B24" i="18"/>
  <c r="B25" i="18"/>
  <c r="B26" i="18"/>
  <c r="B27" i="18"/>
  <c r="B28" i="18"/>
  <c r="B29" i="18"/>
  <c r="B30" i="18"/>
  <c r="B31" i="18"/>
  <c r="B32" i="18"/>
  <c r="B33" i="18"/>
  <c r="B34" i="18"/>
  <c r="B35" i="18"/>
  <c r="B36" i="18"/>
  <c r="B7" i="18"/>
  <c r="B8" i="17"/>
  <c r="B9" i="17"/>
  <c r="B10" i="17"/>
  <c r="B11" i="17"/>
  <c r="B12" i="17"/>
  <c r="B13" i="17"/>
  <c r="B14" i="17"/>
  <c r="B15" i="17"/>
  <c r="B16" i="17"/>
  <c r="B17" i="17"/>
  <c r="B18" i="17"/>
  <c r="B19" i="17"/>
  <c r="B20" i="17"/>
  <c r="B21" i="17"/>
  <c r="B22" i="17"/>
  <c r="B23" i="17"/>
  <c r="B24" i="17"/>
  <c r="B25" i="17"/>
  <c r="B26" i="17"/>
  <c r="B27" i="17"/>
  <c r="B28" i="17"/>
  <c r="B29" i="17"/>
  <c r="B30" i="17"/>
  <c r="B31" i="17"/>
  <c r="B32" i="17"/>
  <c r="B33" i="17"/>
  <c r="B34" i="17"/>
  <c r="B35" i="17"/>
  <c r="B36" i="17"/>
  <c r="B7" i="17"/>
  <c r="B8" i="5"/>
  <c r="B9" i="5"/>
  <c r="B10" i="5"/>
  <c r="B11" i="5"/>
  <c r="B12" i="5"/>
  <c r="B13" i="5"/>
  <c r="B14" i="5"/>
  <c r="B15" i="5"/>
  <c r="B16" i="5"/>
  <c r="B17" i="5"/>
  <c r="B18" i="5"/>
  <c r="B19" i="5"/>
  <c r="B20" i="5"/>
  <c r="B21" i="5"/>
  <c r="B22" i="5"/>
  <c r="B23" i="5"/>
  <c r="B24" i="5"/>
  <c r="B25" i="5"/>
  <c r="B26" i="5"/>
  <c r="B27" i="5"/>
  <c r="B28" i="5"/>
  <c r="B29" i="5"/>
  <c r="B30" i="5"/>
  <c r="B31" i="5"/>
  <c r="B32" i="5"/>
  <c r="B33" i="5"/>
  <c r="B34" i="5"/>
  <c r="B35" i="5"/>
  <c r="B36" i="5"/>
  <c r="B7" i="5"/>
  <c r="B8" i="4"/>
  <c r="B9" i="4"/>
  <c r="B10" i="4"/>
  <c r="B11" i="4"/>
  <c r="B12" i="4"/>
  <c r="B13" i="4"/>
  <c r="B14" i="4"/>
  <c r="B15" i="4"/>
  <c r="B16" i="4"/>
  <c r="B17" i="4"/>
  <c r="B18" i="4"/>
  <c r="B19" i="4"/>
  <c r="B20" i="4"/>
  <c r="B21" i="4"/>
  <c r="B22" i="4"/>
  <c r="B23" i="4"/>
  <c r="B24" i="4"/>
  <c r="B25" i="4"/>
  <c r="B26" i="4"/>
  <c r="B27" i="4"/>
  <c r="B28" i="4"/>
  <c r="B29" i="4"/>
  <c r="B30" i="4"/>
  <c r="B31" i="4"/>
  <c r="B32" i="4"/>
  <c r="B33" i="4"/>
  <c r="B34" i="4"/>
  <c r="B35" i="4"/>
  <c r="B36" i="4"/>
  <c r="B7" i="4"/>
  <c r="F4" i="26" l="1"/>
  <c r="F3" i="26" l="1"/>
  <c r="F2" i="26"/>
  <c r="C37" i="15" l="1"/>
  <c r="D37" i="15"/>
  <c r="E37" i="15"/>
  <c r="F37" i="15"/>
  <c r="G37" i="15"/>
  <c r="H37" i="15"/>
  <c r="I37" i="15"/>
  <c r="J37" i="15"/>
  <c r="K37" i="15"/>
  <c r="L37" i="15"/>
  <c r="M37" i="15"/>
  <c r="N37" i="15"/>
  <c r="O37" i="15"/>
  <c r="P37" i="15"/>
  <c r="Q37" i="15"/>
  <c r="R37" i="15"/>
  <c r="S37" i="15"/>
  <c r="T37" i="15"/>
  <c r="U37" i="15"/>
  <c r="V37" i="15"/>
  <c r="W37" i="15"/>
  <c r="X37" i="15"/>
  <c r="Y37" i="15"/>
  <c r="Z37" i="15"/>
  <c r="AA37" i="15"/>
  <c r="AB37" i="15"/>
  <c r="AC37" i="15"/>
  <c r="AD37" i="15"/>
  <c r="AE37" i="15"/>
  <c r="AF37" i="15"/>
  <c r="AG37" i="15"/>
  <c r="C37" i="25"/>
  <c r="D37" i="25"/>
  <c r="E37" i="25"/>
  <c r="F37" i="25"/>
  <c r="G37" i="25"/>
  <c r="H37" i="25"/>
  <c r="I37" i="25"/>
  <c r="J37" i="25"/>
  <c r="K37" i="25"/>
  <c r="L37" i="25"/>
  <c r="M37" i="25"/>
  <c r="N37" i="25"/>
  <c r="O37" i="25"/>
  <c r="P37" i="25"/>
  <c r="Q37" i="25"/>
  <c r="R37" i="25"/>
  <c r="S37" i="25"/>
  <c r="T37" i="25"/>
  <c r="U37" i="25"/>
  <c r="V37" i="25"/>
  <c r="W37" i="25"/>
  <c r="X37" i="25"/>
  <c r="Y37" i="25"/>
  <c r="Z37" i="25"/>
  <c r="AA37" i="25"/>
  <c r="AB37" i="25"/>
  <c r="AC37" i="25"/>
  <c r="AD37" i="25"/>
  <c r="AE37" i="25"/>
  <c r="AF37" i="25"/>
  <c r="AG37" i="25"/>
  <c r="C37" i="24"/>
  <c r="D37" i="24"/>
  <c r="E37" i="24"/>
  <c r="F37" i="24"/>
  <c r="G37" i="24"/>
  <c r="H37" i="24"/>
  <c r="I37" i="24"/>
  <c r="J37" i="24"/>
  <c r="K37" i="24"/>
  <c r="L37" i="24"/>
  <c r="M37" i="24"/>
  <c r="N37" i="24"/>
  <c r="O37" i="24"/>
  <c r="P37" i="24"/>
  <c r="Q37" i="24"/>
  <c r="R37" i="24"/>
  <c r="S37" i="24"/>
  <c r="T37" i="24"/>
  <c r="U37" i="24"/>
  <c r="V37" i="24"/>
  <c r="W37" i="24"/>
  <c r="X37" i="24"/>
  <c r="Y37" i="24"/>
  <c r="Z37" i="24"/>
  <c r="AA37" i="24"/>
  <c r="AB37" i="24"/>
  <c r="AC37" i="24"/>
  <c r="AD37" i="24"/>
  <c r="AE37" i="24"/>
  <c r="AF37" i="24"/>
  <c r="AG37" i="24"/>
  <c r="C37" i="23"/>
  <c r="D37" i="23"/>
  <c r="E37" i="23"/>
  <c r="F37" i="23"/>
  <c r="G37" i="23"/>
  <c r="H37" i="23"/>
  <c r="I37" i="23"/>
  <c r="J37" i="23"/>
  <c r="K37" i="23"/>
  <c r="L37" i="23"/>
  <c r="M37" i="23"/>
  <c r="N37" i="23"/>
  <c r="O37" i="23"/>
  <c r="P37" i="23"/>
  <c r="Q37" i="23"/>
  <c r="R37" i="23"/>
  <c r="S37" i="23"/>
  <c r="T37" i="23"/>
  <c r="U37" i="23"/>
  <c r="V37" i="23"/>
  <c r="W37" i="23"/>
  <c r="X37" i="23"/>
  <c r="Y37" i="23"/>
  <c r="Z37" i="23"/>
  <c r="AA37" i="23"/>
  <c r="AB37" i="23"/>
  <c r="AC37" i="23"/>
  <c r="AD37" i="23"/>
  <c r="AE37" i="23"/>
  <c r="AF37" i="23"/>
  <c r="AG37" i="23"/>
  <c r="C37" i="22"/>
  <c r="D37" i="22"/>
  <c r="E37" i="22"/>
  <c r="F37" i="22"/>
  <c r="G37" i="22"/>
  <c r="H37" i="22"/>
  <c r="I37" i="22"/>
  <c r="J37" i="22"/>
  <c r="K37" i="22"/>
  <c r="L37" i="22"/>
  <c r="M37" i="22"/>
  <c r="N37" i="22"/>
  <c r="O37" i="22"/>
  <c r="P37" i="22"/>
  <c r="Q37" i="22"/>
  <c r="R37" i="22"/>
  <c r="S37" i="22"/>
  <c r="T37" i="22"/>
  <c r="U37" i="22"/>
  <c r="V37" i="22"/>
  <c r="W37" i="22"/>
  <c r="X37" i="22"/>
  <c r="Y37" i="22"/>
  <c r="Z37" i="22"/>
  <c r="AA37" i="22"/>
  <c r="AB37" i="22"/>
  <c r="AC37" i="22"/>
  <c r="AD37" i="22"/>
  <c r="AE37" i="22"/>
  <c r="AF37" i="22"/>
  <c r="AG37" i="22"/>
  <c r="C37" i="21"/>
  <c r="D37" i="21"/>
  <c r="E37" i="21"/>
  <c r="F37" i="21"/>
  <c r="G37" i="21"/>
  <c r="H37" i="21"/>
  <c r="I37" i="21"/>
  <c r="J37" i="21"/>
  <c r="K37" i="21"/>
  <c r="L37" i="21"/>
  <c r="M37" i="21"/>
  <c r="N37" i="21"/>
  <c r="O37" i="21"/>
  <c r="P37" i="21"/>
  <c r="Q37" i="21"/>
  <c r="R37" i="21"/>
  <c r="S37" i="21"/>
  <c r="T37" i="21"/>
  <c r="U37" i="21"/>
  <c r="V37" i="21"/>
  <c r="W37" i="21"/>
  <c r="X37" i="21"/>
  <c r="Y37" i="21"/>
  <c r="Z37" i="21"/>
  <c r="AA37" i="21"/>
  <c r="AB37" i="21"/>
  <c r="AC37" i="21"/>
  <c r="AD37" i="21"/>
  <c r="AE37" i="21"/>
  <c r="AF37" i="21"/>
  <c r="AG37" i="21"/>
  <c r="C37" i="20"/>
  <c r="D37" i="20"/>
  <c r="E37" i="20"/>
  <c r="F37" i="20"/>
  <c r="G37" i="20"/>
  <c r="H37" i="20"/>
  <c r="I37" i="20"/>
  <c r="J37" i="20"/>
  <c r="K37" i="20"/>
  <c r="L37" i="20"/>
  <c r="M37" i="20"/>
  <c r="N37" i="20"/>
  <c r="O37" i="20"/>
  <c r="P37" i="20"/>
  <c r="Q37" i="20"/>
  <c r="R37" i="20"/>
  <c r="S37" i="20"/>
  <c r="T37" i="20"/>
  <c r="U37" i="20"/>
  <c r="V37" i="20"/>
  <c r="W37" i="20"/>
  <c r="X37" i="20"/>
  <c r="Y37" i="20"/>
  <c r="Z37" i="20"/>
  <c r="AA37" i="20"/>
  <c r="AB37" i="20"/>
  <c r="AC37" i="20"/>
  <c r="AD37" i="20"/>
  <c r="AE37" i="20"/>
  <c r="AF37" i="20"/>
  <c r="AG37" i="20"/>
  <c r="C37" i="19"/>
  <c r="D37" i="19"/>
  <c r="E37" i="19"/>
  <c r="F37" i="19"/>
  <c r="G37" i="19"/>
  <c r="H37" i="19"/>
  <c r="I37" i="19"/>
  <c r="J37" i="19"/>
  <c r="K37" i="19"/>
  <c r="L37" i="19"/>
  <c r="M37" i="19"/>
  <c r="N37" i="19"/>
  <c r="O37" i="19"/>
  <c r="P37" i="19"/>
  <c r="Q37" i="19"/>
  <c r="R37" i="19"/>
  <c r="S37" i="19"/>
  <c r="T37" i="19"/>
  <c r="U37" i="19"/>
  <c r="V37" i="19"/>
  <c r="W37" i="19"/>
  <c r="X37" i="19"/>
  <c r="Y37" i="19"/>
  <c r="Z37" i="19"/>
  <c r="AA37" i="19"/>
  <c r="AB37" i="19"/>
  <c r="AC37" i="19"/>
  <c r="AD37" i="19"/>
  <c r="AE37" i="19"/>
  <c r="AF37" i="19"/>
  <c r="AG37" i="19"/>
  <c r="C37" i="18"/>
  <c r="D37" i="18"/>
  <c r="E37" i="18"/>
  <c r="F37" i="18"/>
  <c r="G37" i="18"/>
  <c r="H37" i="18"/>
  <c r="I37" i="18"/>
  <c r="J37" i="18"/>
  <c r="K37" i="18"/>
  <c r="L37" i="18"/>
  <c r="M37" i="18"/>
  <c r="N37" i="18"/>
  <c r="O37" i="18"/>
  <c r="P37" i="18"/>
  <c r="Q37" i="18"/>
  <c r="R37" i="18"/>
  <c r="S37" i="18"/>
  <c r="T37" i="18"/>
  <c r="U37" i="18"/>
  <c r="V37" i="18"/>
  <c r="W37" i="18"/>
  <c r="X37" i="18"/>
  <c r="Y37" i="18"/>
  <c r="Z37" i="18"/>
  <c r="AA37" i="18"/>
  <c r="AB37" i="18"/>
  <c r="AC37" i="18"/>
  <c r="AD37" i="18"/>
  <c r="AE37" i="18"/>
  <c r="AF37" i="18"/>
  <c r="AG37" i="18"/>
  <c r="C37" i="17"/>
  <c r="D37" i="17"/>
  <c r="E37" i="17"/>
  <c r="F37" i="17"/>
  <c r="G37" i="17"/>
  <c r="H37" i="17"/>
  <c r="I37" i="17"/>
  <c r="J37" i="17"/>
  <c r="K37" i="17"/>
  <c r="L37" i="17"/>
  <c r="M37" i="17"/>
  <c r="N37" i="17"/>
  <c r="O37" i="17"/>
  <c r="P37" i="17"/>
  <c r="Q37" i="17"/>
  <c r="R37" i="17"/>
  <c r="S37" i="17"/>
  <c r="T37" i="17"/>
  <c r="U37" i="17"/>
  <c r="V37" i="17"/>
  <c r="W37" i="17"/>
  <c r="X37" i="17"/>
  <c r="Y37" i="17"/>
  <c r="Z37" i="17"/>
  <c r="AA37" i="17"/>
  <c r="AB37" i="17"/>
  <c r="AC37" i="17"/>
  <c r="AD37" i="17"/>
  <c r="AE37" i="17"/>
  <c r="AF37" i="17"/>
  <c r="AG37" i="17"/>
  <c r="C37" i="5"/>
  <c r="D37" i="5"/>
  <c r="E37" i="5"/>
  <c r="F37" i="5"/>
  <c r="G37" i="5"/>
  <c r="H37" i="5"/>
  <c r="I37" i="5"/>
  <c r="J37" i="5"/>
  <c r="K37" i="5"/>
  <c r="L37" i="5"/>
  <c r="M37" i="5"/>
  <c r="N37" i="5"/>
  <c r="O37" i="5"/>
  <c r="P37" i="5"/>
  <c r="Q37" i="5"/>
  <c r="R37" i="5"/>
  <c r="S37" i="5"/>
  <c r="T37" i="5"/>
  <c r="U37" i="5"/>
  <c r="V37" i="5"/>
  <c r="W37" i="5"/>
  <c r="X37" i="5"/>
  <c r="Y37" i="5"/>
  <c r="Z37" i="5"/>
  <c r="AA37" i="5"/>
  <c r="AB37" i="5"/>
  <c r="AC37" i="5"/>
  <c r="AD37" i="5"/>
  <c r="AE37" i="5"/>
  <c r="D37" i="4" l="1"/>
  <c r="E37" i="4"/>
  <c r="F37" i="4"/>
  <c r="G37" i="4"/>
  <c r="H37" i="4"/>
  <c r="I37" i="4"/>
  <c r="J37" i="4"/>
  <c r="K37" i="4"/>
  <c r="L37" i="4"/>
  <c r="M37" i="4"/>
  <c r="N37" i="4"/>
  <c r="O37" i="4"/>
  <c r="P37" i="4"/>
  <c r="Q37" i="4"/>
  <c r="R37" i="4"/>
  <c r="S37" i="4"/>
  <c r="T37" i="4"/>
  <c r="U37" i="4"/>
  <c r="V37" i="4"/>
  <c r="W37" i="4"/>
  <c r="X37" i="4"/>
  <c r="Y37" i="4"/>
  <c r="Z37" i="4"/>
  <c r="AA37" i="4"/>
  <c r="AB37" i="4"/>
  <c r="AC37" i="4"/>
  <c r="AD37" i="4"/>
  <c r="AE37" i="4"/>
  <c r="AF37" i="4"/>
  <c r="AG37" i="4"/>
  <c r="C37" i="4"/>
  <c r="B37" i="4"/>
  <c r="AH14" i="15"/>
  <c r="N43" i="28" s="1"/>
  <c r="AH15" i="25"/>
  <c r="M44" i="28" s="1"/>
  <c r="AH14" i="24"/>
  <c r="L43" i="28" s="1"/>
  <c r="AH13" i="23"/>
  <c r="K42" i="28" s="1"/>
  <c r="AH13" i="22"/>
  <c r="J42" i="28" s="1"/>
  <c r="AH13" i="21"/>
  <c r="I42" i="28" s="1"/>
  <c r="AH12" i="20"/>
  <c r="H41" i="28" s="1"/>
  <c r="AH12" i="19"/>
  <c r="G41" i="28" s="1"/>
  <c r="AH11" i="18"/>
  <c r="F40" i="28" s="1"/>
  <c r="AH14" i="17"/>
  <c r="AH12" i="5"/>
  <c r="AH13" i="4"/>
  <c r="AH8" i="25"/>
  <c r="M37" i="28" s="1"/>
  <c r="AH9" i="25"/>
  <c r="M38" i="28" s="1"/>
  <c r="AH10" i="25"/>
  <c r="M39" i="28" s="1"/>
  <c r="AH11" i="25"/>
  <c r="M40" i="28" s="1"/>
  <c r="AH12" i="25"/>
  <c r="M41" i="28" s="1"/>
  <c r="AH13" i="25"/>
  <c r="M42" i="28" s="1"/>
  <c r="AH14" i="25"/>
  <c r="M43" i="28" s="1"/>
  <c r="AH16" i="25"/>
  <c r="M45" i="28" s="1"/>
  <c r="AH17" i="25"/>
  <c r="M46" i="28" s="1"/>
  <c r="AH18" i="25"/>
  <c r="M47" i="28" s="1"/>
  <c r="AH19" i="25"/>
  <c r="M48" i="28" s="1"/>
  <c r="AH20" i="25"/>
  <c r="M49" i="28" s="1"/>
  <c r="AH21" i="25"/>
  <c r="M50" i="28" s="1"/>
  <c r="AH22" i="25"/>
  <c r="M51" i="28" s="1"/>
  <c r="AH23" i="25"/>
  <c r="M52" i="28" s="1"/>
  <c r="AH24" i="25"/>
  <c r="M53" i="28" s="1"/>
  <c r="AH25" i="25"/>
  <c r="M54" i="28" s="1"/>
  <c r="AH26" i="25"/>
  <c r="M55" i="28" s="1"/>
  <c r="AH27" i="25"/>
  <c r="M56" i="28" s="1"/>
  <c r="AH28" i="25"/>
  <c r="M57" i="28" s="1"/>
  <c r="AH29" i="25"/>
  <c r="M58" i="28" s="1"/>
  <c r="AH30" i="25"/>
  <c r="M59" i="28" s="1"/>
  <c r="AH31" i="25"/>
  <c r="M60" i="28" s="1"/>
  <c r="AH32" i="25"/>
  <c r="M61" i="28" s="1"/>
  <c r="AH33" i="25"/>
  <c r="M62" i="28" s="1"/>
  <c r="AH34" i="25"/>
  <c r="M63" i="28" s="1"/>
  <c r="AH35" i="25"/>
  <c r="M64" i="28" s="1"/>
  <c r="AH32" i="24"/>
  <c r="L61" i="28" s="1"/>
  <c r="AH33" i="24"/>
  <c r="L62" i="28" s="1"/>
  <c r="AH26" i="24"/>
  <c r="L55" i="28" s="1"/>
  <c r="AH27" i="24"/>
  <c r="L56" i="28" s="1"/>
  <c r="AH28" i="24"/>
  <c r="L57" i="28" s="1"/>
  <c r="AH29" i="24"/>
  <c r="L58" i="28" s="1"/>
  <c r="AH8" i="24"/>
  <c r="L37" i="28" s="1"/>
  <c r="AH9" i="24"/>
  <c r="L38" i="28" s="1"/>
  <c r="AH10" i="24"/>
  <c r="L39" i="28" s="1"/>
  <c r="AH11" i="24"/>
  <c r="L40" i="28" s="1"/>
  <c r="AH12" i="24"/>
  <c r="L41" i="28" s="1"/>
  <c r="AH13" i="24"/>
  <c r="L42" i="28" s="1"/>
  <c r="AH15" i="24"/>
  <c r="L44" i="28" s="1"/>
  <c r="AH16" i="24"/>
  <c r="L45" i="28" s="1"/>
  <c r="AH17" i="24"/>
  <c r="L46" i="28" s="1"/>
  <c r="AH18" i="24"/>
  <c r="L47" i="28" s="1"/>
  <c r="AH19" i="24"/>
  <c r="L48" i="28" s="1"/>
  <c r="AH20" i="24"/>
  <c r="L49" i="28" s="1"/>
  <c r="AH21" i="24"/>
  <c r="L50" i="28" s="1"/>
  <c r="AH22" i="24"/>
  <c r="L51" i="28" s="1"/>
  <c r="AH23" i="24"/>
  <c r="L52" i="28" s="1"/>
  <c r="AH24" i="24"/>
  <c r="L53" i="28" s="1"/>
  <c r="AH25" i="24"/>
  <c r="L54" i="28" s="1"/>
  <c r="AH30" i="24"/>
  <c r="L59" i="28" s="1"/>
  <c r="AH33" i="23"/>
  <c r="K62" i="28" s="1"/>
  <c r="AH8" i="23"/>
  <c r="K37" i="28" s="1"/>
  <c r="AH9" i="23"/>
  <c r="K38" i="28" s="1"/>
  <c r="AH10" i="23"/>
  <c r="K39" i="28" s="1"/>
  <c r="AH11" i="23"/>
  <c r="K40" i="28" s="1"/>
  <c r="AH12" i="23"/>
  <c r="K41" i="28" s="1"/>
  <c r="AH14" i="23"/>
  <c r="K43" i="28" s="1"/>
  <c r="AH15" i="23"/>
  <c r="K44" i="28" s="1"/>
  <c r="AH16" i="23"/>
  <c r="K45" i="28" s="1"/>
  <c r="AH17" i="23"/>
  <c r="K46" i="28" s="1"/>
  <c r="AH18" i="23"/>
  <c r="K47" i="28" s="1"/>
  <c r="AH19" i="23"/>
  <c r="K48" i="28" s="1"/>
  <c r="AH20" i="23"/>
  <c r="K49" i="28" s="1"/>
  <c r="AH21" i="23"/>
  <c r="K50" i="28" s="1"/>
  <c r="AH22" i="23"/>
  <c r="K51" i="28" s="1"/>
  <c r="AH23" i="23"/>
  <c r="K52" i="28" s="1"/>
  <c r="AH24" i="23"/>
  <c r="K53" i="28" s="1"/>
  <c r="AH25" i="23"/>
  <c r="K54" i="28" s="1"/>
  <c r="AH26" i="23"/>
  <c r="K55" i="28" s="1"/>
  <c r="AH27" i="23"/>
  <c r="K56" i="28" s="1"/>
  <c r="AH28" i="23"/>
  <c r="K57" i="28" s="1"/>
  <c r="AH29" i="23"/>
  <c r="K58" i="28" s="1"/>
  <c r="AH30" i="23"/>
  <c r="K59" i="28" s="1"/>
  <c r="AH31" i="23"/>
  <c r="K60" i="28" s="1"/>
  <c r="AH31" i="22"/>
  <c r="J60" i="28" s="1"/>
  <c r="AH32" i="22"/>
  <c r="J61" i="28" s="1"/>
  <c r="AH33" i="22"/>
  <c r="J62" i="28" s="1"/>
  <c r="AH8" i="22"/>
  <c r="J37" i="28" s="1"/>
  <c r="AH9" i="22"/>
  <c r="J38" i="28" s="1"/>
  <c r="AH10" i="22"/>
  <c r="J39" i="28" s="1"/>
  <c r="AH11" i="22"/>
  <c r="J40" i="28" s="1"/>
  <c r="AH12" i="22"/>
  <c r="J41" i="28" s="1"/>
  <c r="AH14" i="22"/>
  <c r="J43" i="28" s="1"/>
  <c r="AH15" i="22"/>
  <c r="J44" i="28" s="1"/>
  <c r="AH16" i="22"/>
  <c r="J45" i="28" s="1"/>
  <c r="AH17" i="22"/>
  <c r="J46" i="28" s="1"/>
  <c r="AH18" i="22"/>
  <c r="J47" i="28" s="1"/>
  <c r="AH19" i="22"/>
  <c r="J48" i="28" s="1"/>
  <c r="AH20" i="22"/>
  <c r="J49" i="28" s="1"/>
  <c r="AH21" i="22"/>
  <c r="J50" i="28" s="1"/>
  <c r="AH22" i="22"/>
  <c r="J51" i="28" s="1"/>
  <c r="AH23" i="22"/>
  <c r="J52" i="28" s="1"/>
  <c r="AH24" i="22"/>
  <c r="J53" i="28" s="1"/>
  <c r="AH25" i="22"/>
  <c r="J54" i="28" s="1"/>
  <c r="AH26" i="22"/>
  <c r="J55" i="28" s="1"/>
  <c r="AH27" i="22"/>
  <c r="J56" i="28" s="1"/>
  <c r="AH28" i="22"/>
  <c r="J57" i="28" s="1"/>
  <c r="AH29" i="22"/>
  <c r="J58" i="28" s="1"/>
  <c r="AH8" i="21"/>
  <c r="I37" i="28" s="1"/>
  <c r="AH9" i="21"/>
  <c r="I38" i="28" s="1"/>
  <c r="AH10" i="21"/>
  <c r="I39" i="28" s="1"/>
  <c r="AH11" i="21"/>
  <c r="I40" i="28" s="1"/>
  <c r="AH12" i="21"/>
  <c r="I41" i="28" s="1"/>
  <c r="AH14" i="21"/>
  <c r="I43" i="28" s="1"/>
  <c r="AH15" i="21"/>
  <c r="I44" i="28" s="1"/>
  <c r="AH16" i="21"/>
  <c r="I45" i="28" s="1"/>
  <c r="AH17" i="21"/>
  <c r="I46" i="28" s="1"/>
  <c r="AH18" i="21"/>
  <c r="I47" i="28" s="1"/>
  <c r="AH19" i="21"/>
  <c r="I48" i="28" s="1"/>
  <c r="AH20" i="21"/>
  <c r="I49" i="28" s="1"/>
  <c r="AH21" i="21"/>
  <c r="I50" i="28" s="1"/>
  <c r="AH22" i="21"/>
  <c r="I51" i="28" s="1"/>
  <c r="AH23" i="21"/>
  <c r="I52" i="28" s="1"/>
  <c r="AH24" i="21"/>
  <c r="I53" i="28" s="1"/>
  <c r="AH25" i="21"/>
  <c r="I54" i="28" s="1"/>
  <c r="AH26" i="21"/>
  <c r="I55" i="28" s="1"/>
  <c r="AH27" i="21"/>
  <c r="I56" i="28" s="1"/>
  <c r="AH28" i="21"/>
  <c r="I57" i="28" s="1"/>
  <c r="AH29" i="21"/>
  <c r="I58" i="28" s="1"/>
  <c r="AH30" i="21"/>
  <c r="I59" i="28" s="1"/>
  <c r="AH31" i="21"/>
  <c r="I60" i="28" s="1"/>
  <c r="AH32" i="21"/>
  <c r="I61" i="28" s="1"/>
  <c r="AH33" i="21"/>
  <c r="I62" i="28" s="1"/>
  <c r="AH33" i="20"/>
  <c r="H62" i="28" s="1"/>
  <c r="AH31" i="20"/>
  <c r="H60" i="28" s="1"/>
  <c r="AH32" i="20"/>
  <c r="H61" i="28" s="1"/>
  <c r="AH8" i="20"/>
  <c r="H37" i="28" s="1"/>
  <c r="AH9" i="20"/>
  <c r="H38" i="28" s="1"/>
  <c r="AH10" i="20"/>
  <c r="H39" i="28" s="1"/>
  <c r="AH11" i="20"/>
  <c r="H40" i="28" s="1"/>
  <c r="AH13" i="20"/>
  <c r="H42" i="28" s="1"/>
  <c r="AH14" i="20"/>
  <c r="H43" i="28" s="1"/>
  <c r="AH15" i="20"/>
  <c r="H44" i="28" s="1"/>
  <c r="AH16" i="20"/>
  <c r="H45" i="28" s="1"/>
  <c r="AH17" i="20"/>
  <c r="H46" i="28" s="1"/>
  <c r="AH18" i="20"/>
  <c r="H47" i="28" s="1"/>
  <c r="AH19" i="20"/>
  <c r="H48" i="28" s="1"/>
  <c r="AH20" i="20"/>
  <c r="H49" i="28" s="1"/>
  <c r="AH21" i="20"/>
  <c r="H50" i="28" s="1"/>
  <c r="AH22" i="20"/>
  <c r="H51" i="28" s="1"/>
  <c r="AH23" i="20"/>
  <c r="H52" i="28" s="1"/>
  <c r="AH24" i="20"/>
  <c r="H53" i="28" s="1"/>
  <c r="AH25" i="20"/>
  <c r="H54" i="28" s="1"/>
  <c r="AH26" i="20"/>
  <c r="H55" i="28" s="1"/>
  <c r="AH27" i="20"/>
  <c r="H56" i="28" s="1"/>
  <c r="AH28" i="20"/>
  <c r="H57" i="28" s="1"/>
  <c r="AH29" i="20"/>
  <c r="H58" i="28" s="1"/>
  <c r="AH33" i="19"/>
  <c r="G62" i="28" s="1"/>
  <c r="AH30" i="19"/>
  <c r="G59" i="28" s="1"/>
  <c r="AH31" i="19"/>
  <c r="G60" i="28" s="1"/>
  <c r="AH8" i="19"/>
  <c r="G37" i="28" s="1"/>
  <c r="AH9" i="19"/>
  <c r="G38" i="28" s="1"/>
  <c r="AH10" i="19"/>
  <c r="G39" i="28" s="1"/>
  <c r="AH11" i="19"/>
  <c r="G40" i="28" s="1"/>
  <c r="AH13" i="19"/>
  <c r="G42" i="28" s="1"/>
  <c r="AH14" i="19"/>
  <c r="G43" i="28" s="1"/>
  <c r="AH15" i="19"/>
  <c r="G44" i="28" s="1"/>
  <c r="AH16" i="19"/>
  <c r="G45" i="28" s="1"/>
  <c r="AH17" i="19"/>
  <c r="G46" i="28" s="1"/>
  <c r="AH18" i="19"/>
  <c r="G47" i="28" s="1"/>
  <c r="AH19" i="19"/>
  <c r="G48" i="28" s="1"/>
  <c r="AH20" i="19"/>
  <c r="G49" i="28" s="1"/>
  <c r="AH21" i="19"/>
  <c r="G50" i="28" s="1"/>
  <c r="AH22" i="19"/>
  <c r="G51" i="28" s="1"/>
  <c r="AH23" i="19"/>
  <c r="G52" i="28" s="1"/>
  <c r="AH24" i="19"/>
  <c r="G53" i="28" s="1"/>
  <c r="AH25" i="19"/>
  <c r="G54" i="28" s="1"/>
  <c r="AH26" i="19"/>
  <c r="G55" i="28" s="1"/>
  <c r="AH27" i="19"/>
  <c r="G56" i="28" s="1"/>
  <c r="AH28" i="19"/>
  <c r="G57" i="28" s="1"/>
  <c r="AH29" i="19"/>
  <c r="G58" i="28" s="1"/>
  <c r="AH30" i="18"/>
  <c r="F59" i="28" s="1"/>
  <c r="AH31" i="18"/>
  <c r="F60" i="28" s="1"/>
  <c r="AH32" i="18"/>
  <c r="F61" i="28" s="1"/>
  <c r="AH24" i="18"/>
  <c r="F53" i="28" s="1"/>
  <c r="AH25" i="18"/>
  <c r="F54" i="28" s="1"/>
  <c r="AH26" i="18"/>
  <c r="F55" i="28" s="1"/>
  <c r="AH27" i="18"/>
  <c r="F56" i="28" s="1"/>
  <c r="AH29" i="18"/>
  <c r="F58" i="28" s="1"/>
  <c r="AH33" i="18"/>
  <c r="F62" i="28" s="1"/>
  <c r="AH8" i="18"/>
  <c r="F37" i="28" s="1"/>
  <c r="AH9" i="18"/>
  <c r="F38" i="28" s="1"/>
  <c r="AH10" i="18"/>
  <c r="F39" i="28" s="1"/>
  <c r="AH12" i="18"/>
  <c r="F41" i="28" s="1"/>
  <c r="AH13" i="18"/>
  <c r="F42" i="28" s="1"/>
  <c r="AH14" i="18"/>
  <c r="F43" i="28" s="1"/>
  <c r="AH15" i="18"/>
  <c r="F44" i="28" s="1"/>
  <c r="AH16" i="18"/>
  <c r="F45" i="28" s="1"/>
  <c r="AH17" i="18"/>
  <c r="F46" i="28" s="1"/>
  <c r="AH18" i="18"/>
  <c r="F47" i="28" s="1"/>
  <c r="AH19" i="18"/>
  <c r="F48" i="28" s="1"/>
  <c r="AH20" i="18"/>
  <c r="F49" i="28" s="1"/>
  <c r="AH21" i="18"/>
  <c r="F50" i="28" s="1"/>
  <c r="AH22" i="18"/>
  <c r="F51" i="28" s="1"/>
  <c r="AH23" i="18"/>
  <c r="F52" i="28" s="1"/>
  <c r="AH32" i="17"/>
  <c r="AH33" i="17"/>
  <c r="AH34" i="17"/>
  <c r="AH31" i="17"/>
  <c r="AH28" i="17"/>
  <c r="AH26" i="17"/>
  <c r="AH27" i="17"/>
  <c r="AH8" i="17"/>
  <c r="AH9" i="17"/>
  <c r="AH10" i="17"/>
  <c r="AH11" i="17"/>
  <c r="AH12" i="17"/>
  <c r="AH13" i="17"/>
  <c r="AH15" i="17"/>
  <c r="AH16" i="17"/>
  <c r="AH17" i="17"/>
  <c r="AH18" i="17"/>
  <c r="AH19" i="17"/>
  <c r="AH20" i="17"/>
  <c r="AH21" i="17"/>
  <c r="AH22" i="17"/>
  <c r="AH23" i="17"/>
  <c r="AH24" i="17"/>
  <c r="AH25" i="17"/>
  <c r="AH34" i="5"/>
  <c r="AH33" i="5"/>
  <c r="AH21" i="5"/>
  <c r="AH22" i="5"/>
  <c r="AH23" i="5"/>
  <c r="AH24" i="5"/>
  <c r="AH8" i="5"/>
  <c r="AH9" i="5"/>
  <c r="AH10" i="5"/>
  <c r="AH11" i="5"/>
  <c r="AH13" i="5"/>
  <c r="AH14" i="5"/>
  <c r="AH15" i="5"/>
  <c r="AH16" i="5"/>
  <c r="AH17" i="5"/>
  <c r="AH18" i="5"/>
  <c r="AH19" i="5"/>
  <c r="AH20" i="5"/>
  <c r="AH25" i="5"/>
  <c r="AH26" i="5"/>
  <c r="AH27" i="5"/>
  <c r="AH28" i="5"/>
  <c r="AH29" i="5"/>
  <c r="AH30" i="5"/>
  <c r="AH33" i="4"/>
  <c r="AH34" i="4"/>
  <c r="AH35" i="4"/>
  <c r="AH36" i="4"/>
  <c r="AH8" i="4"/>
  <c r="AH9" i="4"/>
  <c r="C38" i="28" s="1"/>
  <c r="AH10" i="4"/>
  <c r="AH11" i="4"/>
  <c r="AH12" i="4"/>
  <c r="AH14" i="4"/>
  <c r="AH15" i="4"/>
  <c r="AH16" i="4"/>
  <c r="AH17" i="4"/>
  <c r="AH18" i="4"/>
  <c r="AH19" i="4"/>
  <c r="AH20" i="4"/>
  <c r="AH21" i="4"/>
  <c r="AH22" i="4"/>
  <c r="AH23" i="4"/>
  <c r="AH24" i="4"/>
  <c r="AH25" i="4"/>
  <c r="AH26" i="4"/>
  <c r="AH27" i="4"/>
  <c r="AH28" i="4"/>
  <c r="AH29" i="4"/>
  <c r="AH30" i="4"/>
  <c r="AH31" i="4"/>
  <c r="AH32" i="4"/>
  <c r="AH33" i="15"/>
  <c r="N62" i="28" s="1"/>
  <c r="AH34" i="15"/>
  <c r="N63" i="28" s="1"/>
  <c r="AH8" i="15"/>
  <c r="N37" i="28" s="1"/>
  <c r="AH9" i="15"/>
  <c r="N38" i="28" s="1"/>
  <c r="AH10" i="15"/>
  <c r="N39" i="28" s="1"/>
  <c r="AH11" i="15"/>
  <c r="N40" i="28" s="1"/>
  <c r="AH12" i="15"/>
  <c r="N41" i="28" s="1"/>
  <c r="AH13" i="15"/>
  <c r="N42" i="28" s="1"/>
  <c r="AH15" i="15"/>
  <c r="N44" i="28" s="1"/>
  <c r="AH16" i="15"/>
  <c r="N45" i="28" s="1"/>
  <c r="AH17" i="15"/>
  <c r="N46" i="28" s="1"/>
  <c r="AH18" i="15"/>
  <c r="N47" i="28" s="1"/>
  <c r="AH19" i="15"/>
  <c r="N48" i="28" s="1"/>
  <c r="AH20" i="15"/>
  <c r="N49" i="28" s="1"/>
  <c r="AH21" i="15"/>
  <c r="N50" i="28" s="1"/>
  <c r="AH22" i="15"/>
  <c r="N51" i="28" s="1"/>
  <c r="AH23" i="15"/>
  <c r="N52" i="28" s="1"/>
  <c r="AH24" i="15"/>
  <c r="N53" i="28" s="1"/>
  <c r="AH25" i="15"/>
  <c r="N54" i="28" s="1"/>
  <c r="AH26" i="15"/>
  <c r="N55" i="28" s="1"/>
  <c r="AH27" i="15"/>
  <c r="N56" i="28" s="1"/>
  <c r="AH28" i="15"/>
  <c r="N57" i="28" s="1"/>
  <c r="AH29" i="15"/>
  <c r="N58" i="28" s="1"/>
  <c r="AH30" i="15"/>
  <c r="N59" i="28" s="1"/>
  <c r="AH31" i="15"/>
  <c r="N60" i="28" s="1"/>
  <c r="AH32" i="15"/>
  <c r="N61" i="28" s="1"/>
  <c r="E49" i="28" l="1"/>
  <c r="D49" i="28"/>
  <c r="E45" i="28"/>
  <c r="D45" i="28"/>
  <c r="E53" i="28"/>
  <c r="D53" i="28"/>
  <c r="E59" i="28"/>
  <c r="D59" i="28"/>
  <c r="E55" i="28"/>
  <c r="D55" i="28"/>
  <c r="D47" i="28"/>
  <c r="E47" i="28"/>
  <c r="E43" i="28"/>
  <c r="D43" i="28"/>
  <c r="E38" i="28"/>
  <c r="D38" i="28"/>
  <c r="D51" i="28"/>
  <c r="E51" i="28"/>
  <c r="E58" i="28"/>
  <c r="D58" i="28"/>
  <c r="E54" i="28"/>
  <c r="D54" i="28"/>
  <c r="E46" i="28"/>
  <c r="D46" i="28"/>
  <c r="E42" i="28"/>
  <c r="D42" i="28"/>
  <c r="E50" i="28"/>
  <c r="D50" i="28"/>
  <c r="D41" i="28"/>
  <c r="E41" i="28"/>
  <c r="D57" i="28"/>
  <c r="E57" i="28"/>
  <c r="D40" i="28"/>
  <c r="E40" i="28"/>
  <c r="E62" i="28"/>
  <c r="D62" i="28"/>
  <c r="E56" i="28"/>
  <c r="D56" i="28"/>
  <c r="E48" i="28"/>
  <c r="D48" i="28"/>
  <c r="E44" i="28"/>
  <c r="D44" i="28"/>
  <c r="E39" i="28"/>
  <c r="D39" i="28"/>
  <c r="D52" i="28"/>
  <c r="E52" i="28"/>
  <c r="D63" i="28"/>
  <c r="E63" i="28"/>
  <c r="E37" i="28"/>
  <c r="D37" i="28"/>
  <c r="B37" i="15"/>
  <c r="B37" i="25"/>
  <c r="B37" i="24"/>
  <c r="B37" i="23"/>
  <c r="B37" i="22"/>
  <c r="B37" i="21"/>
  <c r="B37" i="20"/>
  <c r="B37" i="19"/>
  <c r="B37" i="18"/>
  <c r="B37" i="17"/>
  <c r="B37" i="5"/>
  <c r="B1" i="17"/>
  <c r="B1" i="18"/>
  <c r="B1" i="19"/>
  <c r="B1" i="20"/>
  <c r="B1" i="21"/>
  <c r="B1" i="22"/>
  <c r="B1" i="23"/>
  <c r="B1" i="24"/>
  <c r="B1" i="25"/>
  <c r="B1" i="15"/>
  <c r="B1" i="5"/>
  <c r="AH7" i="4"/>
  <c r="C36" i="28" s="1"/>
  <c r="AH35" i="15"/>
  <c r="N64" i="28" s="1"/>
  <c r="AH36" i="15"/>
  <c r="N65" i="28" s="1"/>
  <c r="AH7" i="15"/>
  <c r="N36" i="28" s="1"/>
  <c r="AH36" i="25"/>
  <c r="M65" i="28" s="1"/>
  <c r="AH7" i="25"/>
  <c r="M36" i="28" s="1"/>
  <c r="AH31" i="24"/>
  <c r="L60" i="28" s="1"/>
  <c r="AH34" i="24"/>
  <c r="L63" i="28" s="1"/>
  <c r="AH35" i="24"/>
  <c r="L64" i="28" s="1"/>
  <c r="AH36" i="24"/>
  <c r="L65" i="28" s="1"/>
  <c r="AH7" i="24"/>
  <c r="L36" i="28" s="1"/>
  <c r="AH32" i="23"/>
  <c r="K61" i="28" s="1"/>
  <c r="AH34" i="23"/>
  <c r="K63" i="28" s="1"/>
  <c r="AH35" i="23"/>
  <c r="K64" i="28" s="1"/>
  <c r="AH36" i="23"/>
  <c r="K65" i="28" s="1"/>
  <c r="AH7" i="23"/>
  <c r="K36" i="28" s="1"/>
  <c r="AH30" i="22"/>
  <c r="J59" i="28" s="1"/>
  <c r="AH34" i="22"/>
  <c r="J63" i="28" s="1"/>
  <c r="AH35" i="22"/>
  <c r="J64" i="28" s="1"/>
  <c r="AH36" i="22"/>
  <c r="J65" i="28" s="1"/>
  <c r="AH7" i="22"/>
  <c r="J36" i="28" s="1"/>
  <c r="AH34" i="21"/>
  <c r="I63" i="28" s="1"/>
  <c r="AH35" i="21"/>
  <c r="I64" i="28" s="1"/>
  <c r="AH36" i="21"/>
  <c r="I65" i="28" s="1"/>
  <c r="AH7" i="21"/>
  <c r="I36" i="28" s="1"/>
  <c r="AH30" i="20"/>
  <c r="H59" i="28" s="1"/>
  <c r="AH34" i="20"/>
  <c r="H63" i="28" s="1"/>
  <c r="AH35" i="20"/>
  <c r="H64" i="28" s="1"/>
  <c r="AH36" i="20"/>
  <c r="H65" i="28" s="1"/>
  <c r="AH7" i="20"/>
  <c r="H36" i="28" s="1"/>
  <c r="AH32" i="19"/>
  <c r="G61" i="28" s="1"/>
  <c r="AH34" i="19"/>
  <c r="G63" i="28" s="1"/>
  <c r="AH35" i="19"/>
  <c r="G64" i="28" s="1"/>
  <c r="AH36" i="19"/>
  <c r="G65" i="28" s="1"/>
  <c r="AH7" i="19"/>
  <c r="G36" i="28" s="1"/>
  <c r="AH28" i="18"/>
  <c r="F57" i="28" s="1"/>
  <c r="AH34" i="18"/>
  <c r="F63" i="28" s="1"/>
  <c r="AH35" i="18"/>
  <c r="F64" i="28" s="1"/>
  <c r="AH36" i="18"/>
  <c r="F65" i="28" s="1"/>
  <c r="AH7" i="18"/>
  <c r="F36" i="28" s="1"/>
  <c r="AH29" i="17"/>
  <c r="AH30" i="17"/>
  <c r="AH35" i="17"/>
  <c r="AH36" i="17"/>
  <c r="AH7" i="17"/>
  <c r="AH31" i="5"/>
  <c r="AH32" i="5"/>
  <c r="AH35" i="5"/>
  <c r="AH36" i="5"/>
  <c r="AH7"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H4"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H4"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H4"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H4"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H4"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H4"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H4"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H4"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H4"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H4" i="15"/>
  <c r="AE5" i="5"/>
  <c r="AD5" i="5"/>
  <c r="AC5" i="5"/>
  <c r="AB5" i="5"/>
  <c r="AA5" i="5"/>
  <c r="Z5" i="5"/>
  <c r="Y5" i="5"/>
  <c r="X5" i="5"/>
  <c r="W5" i="5"/>
  <c r="V5" i="5"/>
  <c r="U5" i="5"/>
  <c r="T5" i="5"/>
  <c r="S5" i="5"/>
  <c r="R5" i="5"/>
  <c r="Q5" i="5"/>
  <c r="P5" i="5"/>
  <c r="O5" i="5"/>
  <c r="N5" i="5"/>
  <c r="M5" i="5"/>
  <c r="L5" i="5"/>
  <c r="K5" i="5"/>
  <c r="J5" i="5"/>
  <c r="I5" i="5"/>
  <c r="H5" i="5"/>
  <c r="G5" i="5"/>
  <c r="F5" i="5"/>
  <c r="E5" i="5"/>
  <c r="D5" i="5"/>
  <c r="C5" i="5"/>
  <c r="AH4" i="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E64" i="28" l="1"/>
  <c r="D64" i="28"/>
  <c r="D61" i="28"/>
  <c r="E61" i="28"/>
  <c r="E60" i="28"/>
  <c r="D60" i="28"/>
  <c r="E65" i="28"/>
  <c r="D65" i="28"/>
  <c r="D36" i="28"/>
  <c r="E36" i="28"/>
  <c r="AH37" i="23"/>
  <c r="AH37" i="21"/>
  <c r="AH37" i="18"/>
  <c r="AH37" i="17"/>
  <c r="AH37" i="22" l="1"/>
  <c r="AH37" i="25"/>
  <c r="AH37" i="20"/>
  <c r="AH37" i="19"/>
  <c r="AH37" i="24"/>
  <c r="AH37" i="15" l="1"/>
  <c r="AH37" i="5" l="1"/>
  <c r="AH37" i="4" l="1"/>
</calcChain>
</file>

<file path=xl/sharedStrings.xml><?xml version="1.0" encoding="utf-8"?>
<sst xmlns="http://schemas.openxmlformats.org/spreadsheetml/2006/main" count="687" uniqueCount="112">
  <si>
    <t>Clé de motif d’absence</t>
  </si>
  <si>
    <t>Janvier</t>
  </si>
  <si>
    <t>Nom de l’employé</t>
  </si>
  <si>
    <t>C</t>
  </si>
  <si>
    <t>Dates d’absence</t>
  </si>
  <si>
    <t>1</t>
  </si>
  <si>
    <t>Congé</t>
  </si>
  <si>
    <t>2</t>
  </si>
  <si>
    <t>3</t>
  </si>
  <si>
    <t>4</t>
  </si>
  <si>
    <t>M</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</si>
  <si>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</si>
  <si>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</si>
  <si>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</si>
  <si>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</si>
  <si>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</si>
  <si>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</si>
  <si>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</si>
  <si>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</si>
  <si>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</si>
  <si>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</si>
  <si>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</si>
  <si>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</si>
  <si>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</si>
  <si>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</si>
  <si>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</si>
  <si>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</si>
  <si>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</si>
  <si>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</si>
  <si>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</si>
  <si>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</si>
  <si>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</si>
  <si>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</si>
  <si>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</si>
  <si>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</si>
  <si>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</si>
  <si>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</si>
  <si>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</si>
  <si>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</si>
  <si>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</si>
  <si>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</si>
  <si>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</si>
  <si>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</si>
  <si>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</si>
  <si>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</si>
  <si>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</si>
  <si>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</si>
  <si>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</si>
  <si>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</si>
  <si>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</si>
  <si>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</si>
  <si>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</si>
  <si>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</si>
  <si>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</si>
  <si>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</si>
  <si>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AA</t>
  </si>
  <si>
    <t>A,Autorisé</t>
  </si>
  <si>
    <t>R</t>
  </si>
  <si>
    <t>Récupération</t>
  </si>
  <si>
    <t>AI</t>
  </si>
  <si>
    <t>A,Irrégulière</t>
  </si>
  <si>
    <t>Calendrier des absences des employés EQ B</t>
  </si>
  <si>
    <t>F</t>
  </si>
  <si>
    <t>Formation</t>
  </si>
  <si>
    <t>Raison sociale</t>
  </si>
  <si>
    <t>Titre</t>
  </si>
  <si>
    <t>UET :</t>
  </si>
  <si>
    <t>QUALITE</t>
  </si>
  <si>
    <t>CU</t>
  </si>
  <si>
    <t>AnnéeCalendrier</t>
  </si>
  <si>
    <t>Motif \ Mois</t>
  </si>
  <si>
    <t>r</t>
  </si>
  <si>
    <t>Total</t>
  </si>
  <si>
    <t>Statistique</t>
  </si>
  <si>
    <t>Suivi par Motif d'absence</t>
  </si>
  <si>
    <t>Suivi par Controleur</t>
  </si>
  <si>
    <t>Nom \ Mois</t>
  </si>
  <si>
    <t>A1</t>
  </si>
  <si>
    <t>A2</t>
  </si>
  <si>
    <t>A3</t>
  </si>
  <si>
    <t>A4</t>
  </si>
  <si>
    <t>A5</t>
  </si>
  <si>
    <t>A6</t>
  </si>
  <si>
    <t>A7</t>
  </si>
  <si>
    <t>A8</t>
  </si>
  <si>
    <t>A9</t>
  </si>
  <si>
    <t>A10</t>
  </si>
  <si>
    <t>A11</t>
  </si>
  <si>
    <t>A12</t>
  </si>
  <si>
    <t>A13</t>
  </si>
  <si>
    <t>A14</t>
  </si>
  <si>
    <t>A15</t>
  </si>
  <si>
    <t>A16</t>
  </si>
  <si>
    <t>A17</t>
  </si>
  <si>
    <t>A18</t>
  </si>
  <si>
    <t>A19</t>
  </si>
  <si>
    <t>A20</t>
  </si>
  <si>
    <t>A21</t>
  </si>
  <si>
    <t>A22</t>
  </si>
  <si>
    <t>A23</t>
  </si>
  <si>
    <t>A24</t>
  </si>
  <si>
    <t>A25</t>
  </si>
  <si>
    <t>A26</t>
  </si>
  <si>
    <t>A27</t>
  </si>
  <si>
    <t>A28</t>
  </si>
  <si>
    <t>A29</t>
  </si>
  <si>
    <t>A30</t>
  </si>
  <si>
    <t xml:space="preserve">RENAULT </t>
  </si>
  <si>
    <t>AB</t>
  </si>
  <si>
    <t>AC</t>
  </si>
  <si>
    <t>AD</t>
  </si>
  <si>
    <t>AE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</si>
</sst>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18"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b/>
      <sz val="11"/>
      <name val="Arial"/>
      <family val="2"/>
    </font>
    <font>
      <sz val="11"/>
      <color theme="1"/>
      <name val="Arial"/>
      <family val="2"/>
    </font>
    <font>
      <b/>
      <sz val="10"/>
      <name val="Arial"/>
      <family val="2"/>
    </font>
    <font>
      <sz val="10"/>
      <color theme="1"/>
      <name val="Arial"/>
      <family val="2"/>
    </font>
    <font>
      <i/>
      <sz val="11"/>
      <color rgb="FF7F7F7F"/>
      <name val="Calibri"/>
      <family val="2"/>
      <scheme val="minor"/>
    </font>
    <font>
      <b/>
      <i/>
      <sz val="11"/>
      <color rgb="FF7F7F7F"/>
      <name val="Calibri"/>
      <family val="2"/>
      <scheme val="minor"/>
    </font>
    <font>
      <b/>
      <i/>
      <sz val="14"/>
      <name val="Calibri"/>
      <family val="2"/>
      <scheme val="minor"/>
    </font>
    <font>
      <b/>
      <sz val="12"/>
      <color theme="1"/>
      <name val="Calibri"/>
      <family val="2"/>
      <scheme val="minor"/>
    </font>
    <font>
      <b/>
      <sz val="26"/>
      <color theme="4" tint="-0.249977111117893"/>
      <name val="Calibri"/>
      <family val="2"/>
      <scheme val="minor"/>
    </font>
  </fonts>
  <fills count="25">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00B0F0"/>
        <bgColor indexed="64"/>
      </patternFill>
    </fill>
    <fill>
      <patternFill patternType="solid">
        <fgColor theme="0"/>
        <bgColor indexed="64"/>
      </patternFill>
    </fill>
    <fill>
      <patternFill patternType="solid">
        <fgColor theme="3" tint="0.89999084444715716"/>
        <bgColor indexed="64"/>
      </patternFill>
    </fill>
    <fill>
      <patternFill patternType="solid">
        <fgColor theme="9" tint="-9.9978637043366805E-2"/>
        <bgColor indexed="64"/>
      </patternFill>
    </fill>
  </fills>
  <borders count="7">
    <border>
      <left/>
      <right/>
      <top/>
      <bottom/>
      <diagonal/>
    </border>
    <border>
      <left/>
      <right/>
      <top style="thin">
        <color theme="2" tint="-9.9917600024414813E-2"/>
      </top>
      <bottom style="thin">
        <color theme="2" tint="-9.9917600024414813E-2"/>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ck">
        <color indexed="64"/>
      </left>
      <right style="thin">
        <color indexed="64"/>
      </right>
      <top style="thick">
        <color indexed="64"/>
      </top>
      <bottom style="thick">
        <color indexed="64"/>
      </bottom>
      <diagonal/>
    </border>
    <border>
      <left style="thin">
        <color indexed="64"/>
      </left>
      <right style="thin">
        <color indexed="64"/>
      </right>
      <top style="thick">
        <color indexed="64"/>
      </top>
      <bottom style="thick">
        <color indexed="64"/>
      </bottom>
      <diagonal/>
    </border>
    <border>
      <left style="thin">
        <color indexed="64"/>
      </left>
      <right style="thick">
        <color indexed="64"/>
      </right>
      <top style="thick">
        <color indexed="64"/>
      </top>
      <bottom style="thick">
        <color indexed="64"/>
      </bottom>
      <diagonal/>
    </border>
  </borders>
  <cellStyleXfs count="29">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xf numFmtId="0" fontId="13" fillId="0" borderId="0" applyNumberFormat="0" applyFill="0" applyBorder="0" applyAlignment="0" applyProtection="0"/>
  </cellStyleXfs>
  <cellXfs count="55">
    <xf numFmtId="0" fontId="0" fillId="0" borderId="0" xfId="0">
      <alignment horizontal="left" vertical="center"/>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4" fontId="2" fillId="9" borderId="0" xfId="8" applyNumberFormat="1" applyFont="1" applyAlignment="1" applyProtection="1">
      <alignment horizontal="center" vertical="center"/>
    </xf>
    <xf numFmtId="164" fontId="2" fillId="14" borderId="0" xfId="24" applyNumberFormat="1" applyFont="1"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6" fillId="2" borderId="0" xfId="3" applyProtection="1">
      <alignment horizontal="center" vertical="center"/>
    </xf>
    <xf numFmtId="164" fontId="0" fillId="0" borderId="0" xfId="0" applyNumberFormat="1" applyFont="1" applyFill="1" applyBorder="1" applyAlignment="1" applyProtection="1">
      <alignment horizontal="center" vertical="center"/>
    </xf>
    <xf numFmtId="0" fontId="7" fillId="0" borderId="0" xfId="1" applyAlignment="1" applyProtection="1">
      <alignment vertical="top"/>
    </xf>
    <xf numFmtId="0" fontId="0" fillId="0" borderId="0" xfId="21" applyFont="1" applyFill="1" applyBorder="1" applyAlignment="1" applyProtection="1">
      <alignment horizontal="center" vertical="center"/>
    </xf>
    <xf numFmtId="0" fontId="0" fillId="0" borderId="0" xfId="0" applyAlignment="1" applyProtection="1">
      <alignment horizontal="left" vertical="center" wrapText="1"/>
    </xf>
    <xf numFmtId="0" fontId="2" fillId="20" borderId="0" xfId="4" applyProtection="1">
      <alignment horizontal="right" vertical="center" indent="1"/>
    </xf>
    <xf numFmtId="0" fontId="8" fillId="0" borderId="0" xfId="27" applyProtection="1">
      <alignment horizontal="center"/>
    </xf>
    <xf numFmtId="0" fontId="0" fillId="0" borderId="0" xfId="0" applyFont="1" applyFill="1" applyBorder="1" applyAlignment="1" applyProtection="1">
      <alignment horizontal="left" vertical="center" indent="1"/>
    </xf>
    <xf numFmtId="0" fontId="2" fillId="2" borderId="0" xfId="21" applyFont="1" applyBorder="1" applyAlignment="1" applyProtection="1">
      <alignment horizontal="left" vertical="center" indent="1"/>
    </xf>
    <xf numFmtId="0" fontId="0" fillId="0" borderId="0" xfId="0" applyAlignment="1"/>
    <xf numFmtId="1" fontId="1" fillId="0" borderId="0" xfId="25" applyNumberFormat="1" applyFill="1" applyBorder="1" applyProtection="1">
      <alignment horizontal="center" vertical="center"/>
    </xf>
    <xf numFmtId="1" fontId="0" fillId="0" borderId="0" xfId="25" applyFont="1" applyFill="1" applyBorder="1" applyProtection="1">
      <alignment horizontal="center" vertical="center"/>
    </xf>
    <xf numFmtId="164" fontId="2" fillId="21" borderId="0" xfId="24" applyNumberFormat="1" applyFont="1" applyFill="1" applyAlignment="1" applyProtection="1">
      <alignment horizontal="center" vertical="center"/>
    </xf>
    <xf numFmtId="0" fontId="10" fillId="0" borderId="0" xfId="0" applyFont="1" applyAlignment="1" applyProtection="1">
      <protection locked="0"/>
    </xf>
    <xf numFmtId="0" fontId="10" fillId="0" borderId="0" xfId="0" applyFont="1" applyAlignment="1" applyProtection="1"/>
    <xf numFmtId="0" fontId="12" fillId="0" borderId="0" xfId="0" applyFont="1" applyAlignment="1" applyProtection="1"/>
    <xf numFmtId="0" fontId="12" fillId="0" borderId="0" xfId="0" applyFont="1" applyAlignment="1" applyProtection="1">
      <alignment horizontal="left"/>
      <protection locked="0"/>
    </xf>
    <xf numFmtId="0" fontId="0" fillId="0" borderId="0" xfId="0" applyBorder="1" applyAlignment="1" applyProtection="1">
      <protection locked="0"/>
    </xf>
    <xf numFmtId="0" fontId="0" fillId="0" borderId="0" xfId="0" applyFill="1" applyBorder="1" applyAlignment="1" applyProtection="1">
      <protection locked="0"/>
    </xf>
    <xf numFmtId="0" fontId="11" fillId="21" borderId="0" xfId="0" applyFont="1" applyFill="1" applyAlignment="1" applyProtection="1"/>
    <xf numFmtId="0" fontId="9" fillId="21" borderId="0" xfId="0" applyFont="1" applyFill="1" applyAlignment="1" applyProtection="1"/>
    <xf numFmtId="0" fontId="0" fillId="22" borderId="0" xfId="0" applyFill="1">
      <alignment horizontal="left" vertical="center"/>
    </xf>
    <xf numFmtId="0" fontId="14" fillId="22" borderId="0" xfId="28" applyFont="1" applyFill="1" applyAlignment="1">
      <alignment horizontal="left" vertical="center"/>
    </xf>
    <xf numFmtId="0" fontId="15" fillId="22" borderId="0" xfId="28" applyFont="1" applyFill="1" applyAlignment="1">
      <alignment horizontal="left" vertical="center"/>
    </xf>
    <xf numFmtId="0" fontId="0" fillId="0" borderId="1" xfId="0" applyFont="1" applyFill="1" applyBorder="1" applyAlignment="1"/>
    <xf numFmtId="14" fontId="0" fillId="22" borderId="0" xfId="0" applyNumberFormat="1" applyFill="1">
      <alignment horizontal="left" vertical="center"/>
    </xf>
    <xf numFmtId="0" fontId="16" fillId="22" borderId="2" xfId="0" applyFont="1" applyFill="1" applyBorder="1">
      <alignment horizontal="left" vertical="center"/>
    </xf>
    <xf numFmtId="0" fontId="2" fillId="22" borderId="2" xfId="0" applyFont="1" applyFill="1" applyBorder="1" applyAlignment="1">
      <alignment horizontal="center" vertical="center"/>
    </xf>
    <xf numFmtId="0" fontId="2" fillId="17" borderId="2" xfId="0" applyFont="1" applyFill="1" applyBorder="1" applyAlignment="1">
      <alignment horizontal="center" vertical="center"/>
    </xf>
    <xf numFmtId="0" fontId="2" fillId="24" borderId="2" xfId="0" applyFont="1" applyFill="1" applyBorder="1" applyAlignment="1">
      <alignment horizontal="center" vertical="center"/>
    </xf>
    <xf numFmtId="0" fontId="2" fillId="17" borderId="3" xfId="0" applyFont="1" applyFill="1" applyBorder="1" applyAlignment="1">
      <alignment horizontal="center" vertical="center"/>
    </xf>
    <xf numFmtId="0" fontId="2" fillId="22" borderId="3" xfId="0" applyFont="1" applyFill="1" applyBorder="1" applyAlignment="1">
      <alignment horizontal="center" vertical="center"/>
    </xf>
    <xf numFmtId="0" fontId="2" fillId="17" borderId="4" xfId="0" applyFont="1" applyFill="1" applyBorder="1" applyAlignment="1">
      <alignment horizontal="center" vertical="center"/>
    </xf>
    <xf numFmtId="0" fontId="2" fillId="22" borderId="5" xfId="0" applyFont="1" applyFill="1" applyBorder="1" applyAlignment="1">
      <alignment horizontal="center" vertical="center"/>
    </xf>
    <xf numFmtId="0" fontId="2" fillId="22" borderId="6" xfId="0" applyFont="1" applyFill="1" applyBorder="1" applyAlignment="1">
      <alignment horizontal="center" vertical="center"/>
    </xf>
    <xf numFmtId="1" fontId="0" fillId="22" borderId="2" xfId="0" applyNumberFormat="1" applyFill="1" applyBorder="1" applyAlignment="1">
      <alignment horizontal="center" vertical="center"/>
    </xf>
    <xf numFmtId="0" fontId="2" fillId="20" borderId="0" xfId="4" applyAlignment="1" applyProtection="1">
      <alignment horizontal="center" vertical="center"/>
    </xf>
    <xf numFmtId="0" fontId="17" fillId="22" borderId="0" xfId="0" applyFont="1" applyFill="1" applyAlignment="1">
      <alignment horizontal="left" vertical="center"/>
    </xf>
    <xf numFmtId="0" fontId="9" fillId="21" borderId="0" xfId="0" applyFont="1" applyFill="1" applyAlignment="1" applyProtection="1">
      <alignment horizontal="left"/>
    </xf>
    <xf numFmtId="0" fontId="16" fillId="22" borderId="2" xfId="0" applyFont="1" applyFill="1" applyBorder="1" applyAlignment="1">
      <alignment horizontal="center" vertical="center"/>
    </xf>
    <xf numFmtId="0" fontId="0" fillId="23" borderId="2" xfId="0" applyFill="1" applyBorder="1" applyAlignment="1">
      <alignment horizontal="left" vertical="center"/>
    </xf>
    <xf numFmtId="0" fontId="0" fillId="22" borderId="0" xfId="0" applyFill="1" applyAlignment="1">
      <alignment horizontal="left" vertical="center"/>
    </xf>
    <xf numFmtId="0" fontId="6" fillId="2" borderId="0" xfId="3" applyProtection="1">
      <alignment horizontal="center" vertical="center"/>
    </xf>
    <xf numFmtId="0" fontId="0" fillId="2" borderId="0" xfId="21" applyFont="1" applyAlignment="1" applyProtection="1">
      <alignment horizontal="left" vertical="center"/>
    </xf>
    <xf numFmtId="0" fontId="1" fillId="2" borderId="0" xfId="21" applyAlignment="1" applyProtection="1">
      <alignment horizontal="left" vertical="center"/>
    </xf>
  </cellXfs>
  <cellStyles count="29">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cellStyle name="Étiquette" xfId="27"/>
    <cellStyle name="Normal" xfId="0" builtinId="0" customBuiltin="1"/>
    <cellStyle name="Texte explicatif" xfId="28" builtinId="53"/>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927">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i/>
      </font>
      <numFmt numFmtId="0" formatCode="General"/>
      <fill>
        <patternFill patternType="none">
          <fgColor indexed="64"/>
          <bgColor indexed="65"/>
        </patternFill>
      </fill>
      <alignment horizontal="general" vertical="bottom"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bgColor rgb="FFFF0000"/>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i/>
      </font>
      <numFmt numFmtId="0" formatCode="General"/>
      <fill>
        <patternFill patternType="none">
          <fgColor indexed="64"/>
          <bgColor indexed="65"/>
        </patternFill>
      </fill>
      <alignment horizontal="general" vertical="bottom"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bgColor rgb="FFFF0000"/>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i/>
      </font>
      <numFmt numFmtId="0" formatCode="General"/>
      <fill>
        <patternFill patternType="none">
          <fgColor indexed="64"/>
          <bgColor indexed="65"/>
        </patternFill>
      </fill>
      <alignment horizontal="general" vertical="bottom"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bgColor rgb="FFFF0000"/>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i/>
      </font>
      <numFmt numFmtId="0" formatCode="General"/>
      <fill>
        <patternFill patternType="none">
          <fgColor indexed="64"/>
          <bgColor indexed="65"/>
        </patternFill>
      </fill>
      <alignment horizontal="general" vertical="bottom"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bgColor rgb="FFFF0000"/>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i/>
      </font>
      <numFmt numFmtId="0" formatCode="General"/>
      <fill>
        <patternFill patternType="none">
          <fgColor indexed="64"/>
          <bgColor indexed="65"/>
        </patternFill>
      </fill>
      <alignment horizontal="general" vertical="bottom"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bgColor rgb="FFFF0000"/>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i/>
      </font>
      <numFmt numFmtId="0" formatCode="General"/>
      <fill>
        <patternFill patternType="none">
          <fgColor indexed="64"/>
          <bgColor indexed="65"/>
        </patternFill>
      </fill>
      <alignment horizontal="general" vertical="bottom"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bgColor rgb="FFFF0000"/>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i/>
      </font>
      <numFmt numFmtId="0" formatCode="General"/>
      <fill>
        <patternFill patternType="none">
          <fgColor indexed="64"/>
          <bgColor indexed="65"/>
        </patternFill>
      </fill>
      <alignment horizontal="general" vertical="bottom"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bgColor rgb="FFFF0000"/>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i/>
      </font>
      <numFmt numFmtId="0" formatCode="General"/>
      <fill>
        <patternFill patternType="none">
          <fgColor indexed="64"/>
          <bgColor indexed="65"/>
        </patternFill>
      </fill>
      <alignment horizontal="general" vertical="bottom"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bgColor rgb="FFFF0000"/>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i/>
      </font>
      <numFmt numFmtId="0" formatCode="General"/>
      <fill>
        <patternFill patternType="none">
          <fgColor indexed="64"/>
          <bgColor indexed="65"/>
        </patternFill>
      </fill>
      <alignment horizontal="general" vertical="bottom"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bgColor rgb="FFFF0000"/>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i/>
      </font>
      <numFmt numFmtId="0" formatCode="General"/>
      <fill>
        <patternFill patternType="none">
          <fgColor indexed="64"/>
          <bgColor indexed="65"/>
        </patternFill>
      </fill>
      <alignment horizontal="general" vertical="bottom"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bgColor rgb="FFFF0000"/>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i/>
      </font>
      <numFmt numFmtId="0" formatCode="General"/>
      <fill>
        <patternFill patternType="none">
          <fgColor indexed="64"/>
          <bgColor indexed="65"/>
        </patternFill>
      </fill>
      <alignment horizontal="general" vertical="bottom" textRotation="0" wrapText="0" indent="0" justifyLastLine="0" shrinkToFit="0" readingOrder="0"/>
      <protection locked="1" hidden="0"/>
    </dxf>
    <dxf>
      <protection locked="1" hidden="0"/>
    </dxf>
    <dxf>
      <protection locked="1" hidden="0"/>
    </dxf>
    <dxf>
      <protection locked="1" hidden="0"/>
    </dxf>
    <dxf>
      <fill>
        <patternFill>
          <bgColor rgb="FFFF0000"/>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general" vertical="bottom" textRotation="0" wrapText="0" indent="0" justifyLastLine="0" shrinkToFit="0" readingOrder="0"/>
    </dxf>
    <dxf>
      <protection locked="1" hidden="0"/>
    </dxf>
    <dxf>
      <protection locked="1" hidden="0"/>
    </dxf>
    <dxf>
      <protection locked="1" hidden="0"/>
    </dxf>
    <dxf>
      <fill>
        <patternFill>
          <bgColor rgb="FFFF0000"/>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tableStyleElement type="wholeTable" dxfId="926"/>
      <tableStyleElement type="headerRow" dxfId="925"/>
      <tableStyleElement type="totalRow" dxfId="924"/>
      <tableStyleElement type="firstColumn" dxfId="923"/>
      <tableStyleElement type="lastColumn" dxfId="922"/>
      <tableStyleElement type="firstRowStripe" dxfId="921"/>
      <tableStyleElement type="secondRowStripe" dxfId="920"/>
      <tableStyleElement type="firstColumnStripe" dxfId="919"/>
      <tableStyleElement type="secondColumnStripe" dxfId="918"/>
      <tableStyleElement type="firstHeaderCell" dxfId="917"/>
      <tableStyleElement type="lastHeaderCell" dxfId="916"/>
      <tableStyleElement type="firstTotalCell" dxfId="915"/>
      <tableStyleElement type="lastTotalCell" dxfId="91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Suivi par Motif d'absence</a:t>
            </a:r>
          </a:p>
        </c:rich>
      </c:tx>
      <c:layout/>
      <c:overlay val="0"/>
      <c:spPr>
        <a:noFill/>
        <a:ln>
          <a:noFill/>
        </a:ln>
        <a:effectLst/>
      </c:spPr>
      <c:txPr>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fr-FR"/>
        </a:p>
      </c:txPr>
    </c:title>
    <c:autoTitleDeleted val="0"/>
    <c:plotArea>
      <c:layout/>
      <c:barChart>
        <c:barDir val="col"/>
        <c:grouping val="clustered"/>
        <c:varyColors val="0"/>
        <c:ser>
          <c:idx val="0"/>
          <c:order val="0"/>
          <c:tx>
            <c:strRef>
              <c:f>Statistique!$A$10</c:f>
              <c:strCache>
                <c:ptCount val="1"/>
                <c:pt idx="0">
                  <c:v>C</c:v>
                </c:pt>
              </c:strCache>
            </c:strRef>
          </c:tx>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a:solidFill>
                        <a:schemeClr val="lt1">
                          <a:lumMod val="95000"/>
                          <a:alpha val="54000"/>
                        </a:schemeClr>
                      </a:solidFill>
                    </a:ln>
                    <a:effectLst/>
                  </c:spPr>
                </c15:leaderLines>
              </c:ext>
            </c:extLst>
          </c:dLbls>
          <c:cat>
            <c:strRef>
              <c:f>Statistique!$B$9:$M$9</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Statistique!$B$10:$M$10</c:f>
              <c:numCache>
                <c:formatCode>General</c:formatCode>
                <c:ptCount val="12"/>
                <c:pt idx="0">
                  <c:v>0</c:v>
                </c:pt>
                <c:pt idx="1">
                  <c:v>0</c:v>
                </c:pt>
                <c:pt idx="2">
                  <c:v>0</c:v>
                </c:pt>
                <c:pt idx="3">
                  <c:v>4</c:v>
                </c:pt>
                <c:pt idx="4">
                  <c:v>0</c:v>
                </c:pt>
                <c:pt idx="5">
                  <c:v>0</c:v>
                </c:pt>
                <c:pt idx="6">
                  <c:v>0</c:v>
                </c:pt>
                <c:pt idx="7">
                  <c:v>0</c:v>
                </c:pt>
                <c:pt idx="8">
                  <c:v>0</c:v>
                </c:pt>
                <c:pt idx="9">
                  <c:v>0</c:v>
                </c:pt>
                <c:pt idx="10">
                  <c:v>0</c:v>
                </c:pt>
                <c:pt idx="11">
                  <c:v>0</c:v>
                </c:pt>
              </c:numCache>
            </c:numRef>
          </c:val>
        </c:ser>
        <c:ser>
          <c:idx val="1"/>
          <c:order val="1"/>
          <c:tx>
            <c:strRef>
              <c:f>Statistique!$A$11</c:f>
              <c:strCache>
                <c:ptCount val="1"/>
                <c:pt idx="0">
                  <c:v>R</c:v>
                </c:pt>
              </c:strCache>
            </c:strRef>
          </c:tx>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a:solidFill>
                        <a:schemeClr val="lt1">
                          <a:lumMod val="95000"/>
                          <a:alpha val="54000"/>
                        </a:schemeClr>
                      </a:solidFill>
                    </a:ln>
                    <a:effectLst/>
                  </c:spPr>
                </c15:leaderLines>
              </c:ext>
            </c:extLst>
          </c:dLbls>
          <c:cat>
            <c:strRef>
              <c:f>Statistique!$B$9:$M$9</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Statistique!$B$11:$M$11</c:f>
              <c:numCache>
                <c:formatCode>General</c:formatCode>
                <c:ptCount val="12"/>
                <c:pt idx="0">
                  <c:v>3</c:v>
                </c:pt>
                <c:pt idx="1">
                  <c:v>0</c:v>
                </c:pt>
                <c:pt idx="2">
                  <c:v>0</c:v>
                </c:pt>
                <c:pt idx="3">
                  <c:v>2</c:v>
                </c:pt>
                <c:pt idx="4">
                  <c:v>0</c:v>
                </c:pt>
                <c:pt idx="5">
                  <c:v>0</c:v>
                </c:pt>
                <c:pt idx="6">
                  <c:v>0</c:v>
                </c:pt>
                <c:pt idx="7">
                  <c:v>0</c:v>
                </c:pt>
                <c:pt idx="8">
                  <c:v>0</c:v>
                </c:pt>
                <c:pt idx="9">
                  <c:v>0</c:v>
                </c:pt>
                <c:pt idx="10">
                  <c:v>0</c:v>
                </c:pt>
                <c:pt idx="11">
                  <c:v>0</c:v>
                </c:pt>
              </c:numCache>
            </c:numRef>
          </c:val>
        </c:ser>
        <c:ser>
          <c:idx val="2"/>
          <c:order val="2"/>
          <c:tx>
            <c:strRef>
              <c:f>Statistique!$A$12</c:f>
              <c:strCache>
                <c:ptCount val="1"/>
                <c:pt idx="0">
                  <c:v>M</c:v>
                </c:pt>
              </c:strCache>
            </c:strRef>
          </c:tx>
          <c:spPr>
            <a:gradFill rotWithShape="1">
              <a:gsLst>
                <a:gs pos="0">
                  <a:schemeClr val="accent3">
                    <a:shade val="51000"/>
                    <a:satMod val="130000"/>
                  </a:schemeClr>
                </a:gs>
                <a:gs pos="80000">
                  <a:schemeClr val="accent3">
                    <a:shade val="93000"/>
                    <a:satMod val="130000"/>
                  </a:schemeClr>
                </a:gs>
                <a:gs pos="100000">
                  <a:schemeClr val="accent3">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a:solidFill>
                        <a:schemeClr val="lt1">
                          <a:lumMod val="95000"/>
                          <a:alpha val="54000"/>
                        </a:schemeClr>
                      </a:solidFill>
                    </a:ln>
                    <a:effectLst/>
                  </c:spPr>
                </c15:leaderLines>
              </c:ext>
            </c:extLst>
          </c:dLbls>
          <c:cat>
            <c:strRef>
              <c:f>Statistique!$B$9:$M$9</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Statistique!$B$12:$M$12</c:f>
              <c:numCache>
                <c:formatCode>General</c:formatCode>
                <c:ptCount val="12"/>
                <c:pt idx="0">
                  <c:v>0</c:v>
                </c:pt>
                <c:pt idx="1">
                  <c:v>0</c:v>
                </c:pt>
                <c:pt idx="2">
                  <c:v>0</c:v>
                </c:pt>
                <c:pt idx="3">
                  <c:v>7</c:v>
                </c:pt>
                <c:pt idx="4">
                  <c:v>0</c:v>
                </c:pt>
                <c:pt idx="5">
                  <c:v>0</c:v>
                </c:pt>
                <c:pt idx="6">
                  <c:v>0</c:v>
                </c:pt>
                <c:pt idx="7">
                  <c:v>0</c:v>
                </c:pt>
                <c:pt idx="8">
                  <c:v>0</c:v>
                </c:pt>
                <c:pt idx="9">
                  <c:v>0</c:v>
                </c:pt>
                <c:pt idx="10">
                  <c:v>0</c:v>
                </c:pt>
                <c:pt idx="11">
                  <c:v>0</c:v>
                </c:pt>
              </c:numCache>
            </c:numRef>
          </c:val>
        </c:ser>
        <c:ser>
          <c:idx val="3"/>
          <c:order val="3"/>
          <c:tx>
            <c:strRef>
              <c:f>Statistique!$A$13</c:f>
              <c:strCache>
                <c:ptCount val="1"/>
                <c:pt idx="0">
                  <c:v>AA</c:v>
                </c:pt>
              </c:strCache>
            </c:strRef>
          </c:tx>
          <c:spPr>
            <a:gradFill rotWithShape="1">
              <a:gsLst>
                <a:gs pos="0">
                  <a:schemeClr val="accent4">
                    <a:shade val="51000"/>
                    <a:satMod val="130000"/>
                  </a:schemeClr>
                </a:gs>
                <a:gs pos="80000">
                  <a:schemeClr val="accent4">
                    <a:shade val="93000"/>
                    <a:satMod val="130000"/>
                  </a:schemeClr>
                </a:gs>
                <a:gs pos="100000">
                  <a:schemeClr val="accent4">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a:solidFill>
                        <a:schemeClr val="lt1">
                          <a:lumMod val="95000"/>
                          <a:alpha val="54000"/>
                        </a:schemeClr>
                      </a:solidFill>
                    </a:ln>
                    <a:effectLst/>
                  </c:spPr>
                </c15:leaderLines>
              </c:ext>
            </c:extLst>
          </c:dLbls>
          <c:cat>
            <c:strRef>
              <c:f>Statistique!$B$9:$M$9</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Statistique!$B$13:$M$13</c:f>
              <c:numCache>
                <c:formatCode>General</c:formatCode>
                <c:ptCount val="12"/>
                <c:pt idx="0">
                  <c:v>0</c:v>
                </c:pt>
                <c:pt idx="1">
                  <c:v>0</c:v>
                </c:pt>
                <c:pt idx="2">
                  <c:v>0</c:v>
                </c:pt>
                <c:pt idx="3">
                  <c:v>2</c:v>
                </c:pt>
                <c:pt idx="4">
                  <c:v>0</c:v>
                </c:pt>
                <c:pt idx="5">
                  <c:v>0</c:v>
                </c:pt>
                <c:pt idx="6">
                  <c:v>0</c:v>
                </c:pt>
                <c:pt idx="7">
                  <c:v>0</c:v>
                </c:pt>
                <c:pt idx="8">
                  <c:v>0</c:v>
                </c:pt>
                <c:pt idx="9">
                  <c:v>0</c:v>
                </c:pt>
                <c:pt idx="10">
                  <c:v>0</c:v>
                </c:pt>
                <c:pt idx="11">
                  <c:v>0</c:v>
                </c:pt>
              </c:numCache>
            </c:numRef>
          </c:val>
        </c:ser>
        <c:ser>
          <c:idx val="4"/>
          <c:order val="4"/>
          <c:tx>
            <c:strRef>
              <c:f>Statistique!$A$14</c:f>
              <c:strCache>
                <c:ptCount val="1"/>
                <c:pt idx="0">
                  <c:v>AI</c:v>
                </c:pt>
              </c:strCache>
            </c:strRef>
          </c:tx>
          <c:spPr>
            <a:gradFill rotWithShape="1">
              <a:gsLst>
                <a:gs pos="0">
                  <a:schemeClr val="accent5">
                    <a:shade val="51000"/>
                    <a:satMod val="130000"/>
                  </a:schemeClr>
                </a:gs>
                <a:gs pos="80000">
                  <a:schemeClr val="accent5">
                    <a:shade val="93000"/>
                    <a:satMod val="130000"/>
                  </a:schemeClr>
                </a:gs>
                <a:gs pos="100000">
                  <a:schemeClr val="accent5">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a:solidFill>
                        <a:schemeClr val="lt1">
                          <a:lumMod val="95000"/>
                          <a:alpha val="54000"/>
                        </a:schemeClr>
                      </a:solidFill>
                    </a:ln>
                    <a:effectLst/>
                  </c:spPr>
                </c15:leaderLines>
              </c:ext>
            </c:extLst>
          </c:dLbls>
          <c:cat>
            <c:strRef>
              <c:f>Statistique!$B$9:$M$9</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Statistique!$B$14:$M$14</c:f>
              <c:numCache>
                <c:formatCode>General</c:formatCode>
                <c:ptCount val="12"/>
                <c:pt idx="0">
                  <c:v>0</c:v>
                </c:pt>
                <c:pt idx="1">
                  <c:v>0</c:v>
                </c:pt>
                <c:pt idx="2">
                  <c:v>0</c:v>
                </c:pt>
                <c:pt idx="3">
                  <c:v>2</c:v>
                </c:pt>
                <c:pt idx="4">
                  <c:v>0</c:v>
                </c:pt>
                <c:pt idx="5">
                  <c:v>0</c:v>
                </c:pt>
                <c:pt idx="6">
                  <c:v>0</c:v>
                </c:pt>
                <c:pt idx="7">
                  <c:v>0</c:v>
                </c:pt>
                <c:pt idx="8">
                  <c:v>0</c:v>
                </c:pt>
                <c:pt idx="9">
                  <c:v>0</c:v>
                </c:pt>
                <c:pt idx="10">
                  <c:v>0</c:v>
                </c:pt>
                <c:pt idx="11">
                  <c:v>0</c:v>
                </c:pt>
              </c:numCache>
            </c:numRef>
          </c:val>
        </c:ser>
        <c:ser>
          <c:idx val="5"/>
          <c:order val="5"/>
          <c:tx>
            <c:strRef>
              <c:f>Statistique!$A$15</c:f>
              <c:strCache>
                <c:ptCount val="1"/>
                <c:pt idx="0">
                  <c:v>Total</c:v>
                </c:pt>
              </c:strCache>
            </c:strRef>
          </c:tx>
          <c:spPr>
            <a:gradFill rotWithShape="1">
              <a:gsLst>
                <a:gs pos="0">
                  <a:schemeClr val="accent6">
                    <a:shade val="51000"/>
                    <a:satMod val="130000"/>
                  </a:schemeClr>
                </a:gs>
                <a:gs pos="80000">
                  <a:schemeClr val="accent6">
                    <a:shade val="93000"/>
                    <a:satMod val="130000"/>
                  </a:schemeClr>
                </a:gs>
                <a:gs pos="100000">
                  <a:schemeClr val="accent6">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a:solidFill>
                        <a:schemeClr val="lt1">
                          <a:lumMod val="95000"/>
                          <a:alpha val="54000"/>
                        </a:schemeClr>
                      </a:solidFill>
                    </a:ln>
                    <a:effectLst/>
                  </c:spPr>
                </c15:leaderLines>
              </c:ext>
            </c:extLst>
          </c:dLbls>
          <c:cat>
            <c:strRef>
              <c:f>Statistique!$B$9:$M$9</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Statistique!$B$15:$M$15</c:f>
              <c:numCache>
                <c:formatCode>General</c:formatCode>
                <c:ptCount val="12"/>
                <c:pt idx="0">
                  <c:v>3</c:v>
                </c:pt>
                <c:pt idx="1">
                  <c:v>0</c:v>
                </c:pt>
                <c:pt idx="2">
                  <c:v>0</c:v>
                </c:pt>
                <c:pt idx="3">
                  <c:v>17</c:v>
                </c:pt>
                <c:pt idx="4">
                  <c:v>0</c:v>
                </c:pt>
                <c:pt idx="5">
                  <c:v>0</c:v>
                </c:pt>
                <c:pt idx="6">
                  <c:v>0</c:v>
                </c:pt>
                <c:pt idx="7">
                  <c:v>0</c:v>
                </c:pt>
                <c:pt idx="8">
                  <c:v>0</c:v>
                </c:pt>
                <c:pt idx="9">
                  <c:v>0</c:v>
                </c:pt>
                <c:pt idx="10">
                  <c:v>0</c:v>
                </c:pt>
                <c:pt idx="11">
                  <c:v>0</c:v>
                </c:pt>
              </c:numCache>
            </c:numRef>
          </c:val>
        </c:ser>
        <c:dLbls>
          <c:dLblPos val="outEnd"/>
          <c:showLegendKey val="0"/>
          <c:showVal val="1"/>
          <c:showCatName val="0"/>
          <c:showSerName val="0"/>
          <c:showPercent val="0"/>
          <c:showBubbleSize val="0"/>
        </c:dLbls>
        <c:gapWidth val="100"/>
        <c:overlap val="-24"/>
        <c:axId val="113731568"/>
        <c:axId val="194597584"/>
      </c:barChart>
      <c:catAx>
        <c:axId val="113731568"/>
        <c:scaling>
          <c:orientation val="minMax"/>
        </c:scaling>
        <c:delete val="0"/>
        <c:axPos val="b"/>
        <c:numFmt formatCode="General" sourceLinked="1"/>
        <c:majorTickMark val="none"/>
        <c:minorTickMark val="none"/>
        <c:tickLblPos val="nextTo"/>
        <c:spPr>
          <a:noFill/>
          <a:ln w="12700" cap="flat" cmpd="sng" algn="ctr">
            <a:solidFill>
              <a:schemeClr val="lt1">
                <a:lumMod val="95000"/>
                <a:alpha val="54000"/>
              </a:schemeClr>
            </a:solidFill>
            <a:round/>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194597584"/>
        <c:crosses val="autoZero"/>
        <c:auto val="1"/>
        <c:lblAlgn val="ctr"/>
        <c:lblOffset val="100"/>
        <c:noMultiLvlLbl val="0"/>
      </c:catAx>
      <c:valAx>
        <c:axId val="194597584"/>
        <c:scaling>
          <c:orientation val="minMax"/>
        </c:scaling>
        <c:delete val="0"/>
        <c:axPos val="l"/>
        <c:majorGridlines>
          <c:spPr>
            <a:ln w="9525" cap="flat" cmpd="sng" algn="ctr">
              <a:solidFill>
                <a:schemeClr val="lt1">
                  <a:lumMod val="95000"/>
                  <a:alpha val="10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113731568"/>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gap"/>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Suivi par Controleur</a:t>
            </a:r>
          </a:p>
        </c:rich>
      </c:tx>
      <c:overlay val="0"/>
      <c:spPr>
        <a:noFill/>
        <a:ln>
          <a:noFill/>
        </a:ln>
        <a:effectLst/>
      </c:spPr>
      <c:txPr>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fr-FR"/>
        </a:p>
      </c:txPr>
    </c:title>
    <c:autoTitleDeleted val="0"/>
    <c:plotArea>
      <c:layout/>
      <c:barChart>
        <c:barDir val="col"/>
        <c:grouping val="clustered"/>
        <c:varyColors val="0"/>
        <c:ser>
          <c:idx val="1"/>
          <c:order val="1"/>
          <c:tx>
            <c:strRef>
              <c:f>Statistique!$C$35</c:f>
              <c:strCache>
                <c:ptCount val="1"/>
                <c:pt idx="0">
                  <c:v>Janvier</c:v>
                </c:pt>
              </c:strCache>
            </c:strRef>
          </c:tx>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Statistique!$A$36:$A$65</c:f>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f>Statistique!$C$36:$C$65</c:f>
              <c:numCache>
                <c:formatCode>0</c:formatCode>
                <c:ptCount val="30"/>
                <c:pt idx="0">
                  <c:v>0</c:v>
                </c:pt>
                <c:pt idx="1">
                  <c:v>0</c:v>
                </c:pt>
                <c:pt idx="2">
                  <c:v>3</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ser>
        <c:ser>
          <c:idx val="2"/>
          <c:order val="2"/>
          <c:tx>
            <c:strRef>
              <c:f>Statistique!$D$35</c:f>
              <c:strCache>
                <c:ptCount val="1"/>
                <c:pt idx="0">
                  <c:v>Février</c:v>
                </c:pt>
              </c:strCache>
            </c:strRef>
          </c:tx>
          <c:spPr>
            <a:gradFill rotWithShape="1">
              <a:gsLst>
                <a:gs pos="0">
                  <a:schemeClr val="accent3">
                    <a:shade val="51000"/>
                    <a:satMod val="130000"/>
                  </a:schemeClr>
                </a:gs>
                <a:gs pos="80000">
                  <a:schemeClr val="accent3">
                    <a:shade val="93000"/>
                    <a:satMod val="130000"/>
                  </a:schemeClr>
                </a:gs>
                <a:gs pos="100000">
                  <a:schemeClr val="accent3">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Statistique!$A$36:$A$65</c:f>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f>Statistique!$D$36:$D$65</c:f>
              <c:numCache>
                <c:formatCode>0</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ser>
        <c:ser>
          <c:idx val="3"/>
          <c:order val="3"/>
          <c:tx>
            <c:strRef>
              <c:f>Statistique!$E$35</c:f>
              <c:strCache>
                <c:ptCount val="1"/>
                <c:pt idx="0">
                  <c:v>Mars</c:v>
                </c:pt>
              </c:strCache>
            </c:strRef>
          </c:tx>
          <c:spPr>
            <a:gradFill rotWithShape="1">
              <a:gsLst>
                <a:gs pos="0">
                  <a:schemeClr val="accent4">
                    <a:shade val="51000"/>
                    <a:satMod val="130000"/>
                  </a:schemeClr>
                </a:gs>
                <a:gs pos="80000">
                  <a:schemeClr val="accent4">
                    <a:shade val="93000"/>
                    <a:satMod val="130000"/>
                  </a:schemeClr>
                </a:gs>
                <a:gs pos="100000">
                  <a:schemeClr val="accent4">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Statistique!$A$36:$A$65</c:f>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f>Statistique!$E$36:$E$65</c:f>
              <c:numCache>
                <c:formatCode>0</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ser>
        <c:ser>
          <c:idx val="4"/>
          <c:order val="4"/>
          <c:tx>
            <c:strRef>
              <c:f>Statistique!$F$35</c:f>
              <c:strCache>
                <c:ptCount val="1"/>
                <c:pt idx="0">
                  <c:v>Avril</c:v>
                </c:pt>
              </c:strCache>
            </c:strRef>
          </c:tx>
          <c:spPr>
            <a:gradFill rotWithShape="1">
              <a:gsLst>
                <a:gs pos="0">
                  <a:schemeClr val="accent5">
                    <a:shade val="51000"/>
                    <a:satMod val="130000"/>
                  </a:schemeClr>
                </a:gs>
                <a:gs pos="80000">
                  <a:schemeClr val="accent5">
                    <a:shade val="93000"/>
                    <a:satMod val="130000"/>
                  </a:schemeClr>
                </a:gs>
                <a:gs pos="100000">
                  <a:schemeClr val="accent5">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Statistique!$A$36:$A$65</c:f>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f>Statistique!$F$36:$F$65</c:f>
              <c:numCache>
                <c:formatCode>0</c:formatCode>
                <c:ptCount val="30"/>
                <c:pt idx="0">
                  <c:v>0</c:v>
                </c:pt>
                <c:pt idx="1">
                  <c:v>0</c:v>
                </c:pt>
                <c:pt idx="2">
                  <c:v>2</c:v>
                </c:pt>
                <c:pt idx="3">
                  <c:v>0</c:v>
                </c:pt>
                <c:pt idx="4">
                  <c:v>0</c:v>
                </c:pt>
                <c:pt idx="5">
                  <c:v>0</c:v>
                </c:pt>
                <c:pt idx="6">
                  <c:v>0</c:v>
                </c:pt>
                <c:pt idx="7">
                  <c:v>0</c:v>
                </c:pt>
                <c:pt idx="8">
                  <c:v>0</c:v>
                </c:pt>
                <c:pt idx="9">
                  <c:v>0</c:v>
                </c:pt>
                <c:pt idx="10">
                  <c:v>0</c:v>
                </c:pt>
                <c:pt idx="11">
                  <c:v>0</c:v>
                </c:pt>
                <c:pt idx="12">
                  <c:v>1</c:v>
                </c:pt>
                <c:pt idx="13">
                  <c:v>0</c:v>
                </c:pt>
                <c:pt idx="14">
                  <c:v>0</c:v>
                </c:pt>
                <c:pt idx="15">
                  <c:v>0</c:v>
                </c:pt>
                <c:pt idx="16">
                  <c:v>0</c:v>
                </c:pt>
                <c:pt idx="17">
                  <c:v>1</c:v>
                </c:pt>
                <c:pt idx="18">
                  <c:v>0</c:v>
                </c:pt>
                <c:pt idx="19">
                  <c:v>0</c:v>
                </c:pt>
                <c:pt idx="20">
                  <c:v>0</c:v>
                </c:pt>
                <c:pt idx="21">
                  <c:v>7</c:v>
                </c:pt>
                <c:pt idx="22">
                  <c:v>1</c:v>
                </c:pt>
                <c:pt idx="23">
                  <c:v>0</c:v>
                </c:pt>
                <c:pt idx="24">
                  <c:v>0</c:v>
                </c:pt>
                <c:pt idx="25">
                  <c:v>2</c:v>
                </c:pt>
                <c:pt idx="26">
                  <c:v>3</c:v>
                </c:pt>
                <c:pt idx="27">
                  <c:v>0</c:v>
                </c:pt>
                <c:pt idx="28">
                  <c:v>0</c:v>
                </c:pt>
                <c:pt idx="29">
                  <c:v>0</c:v>
                </c:pt>
              </c:numCache>
            </c:numRef>
          </c:val>
        </c:ser>
        <c:ser>
          <c:idx val="5"/>
          <c:order val="5"/>
          <c:tx>
            <c:strRef>
              <c:f>Statistique!$G$35</c:f>
              <c:strCache>
                <c:ptCount val="1"/>
                <c:pt idx="0">
                  <c:v>Mai</c:v>
                </c:pt>
              </c:strCache>
            </c:strRef>
          </c:tx>
          <c:spPr>
            <a:gradFill rotWithShape="1">
              <a:gsLst>
                <a:gs pos="0">
                  <a:schemeClr val="accent6">
                    <a:shade val="51000"/>
                    <a:satMod val="130000"/>
                  </a:schemeClr>
                </a:gs>
                <a:gs pos="80000">
                  <a:schemeClr val="accent6">
                    <a:shade val="93000"/>
                    <a:satMod val="130000"/>
                  </a:schemeClr>
                </a:gs>
                <a:gs pos="100000">
                  <a:schemeClr val="accent6">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Statistique!$A$36:$A$65</c:f>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f>Statistique!$G$36:$G$65</c:f>
              <c:numCache>
                <c:formatCode>0</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ser>
        <c:ser>
          <c:idx val="6"/>
          <c:order val="6"/>
          <c:tx>
            <c:strRef>
              <c:f>Statistique!$H$35</c:f>
              <c:strCache>
                <c:ptCount val="1"/>
                <c:pt idx="0">
                  <c:v>Juin</c:v>
                </c:pt>
              </c:strCache>
            </c:strRef>
          </c:tx>
          <c:spPr>
            <a:gradFill rotWithShape="1">
              <a:gsLst>
                <a:gs pos="0">
                  <a:schemeClr val="accent1">
                    <a:lumMod val="60000"/>
                    <a:shade val="51000"/>
                    <a:satMod val="130000"/>
                  </a:schemeClr>
                </a:gs>
                <a:gs pos="80000">
                  <a:schemeClr val="accent1">
                    <a:lumMod val="60000"/>
                    <a:shade val="93000"/>
                    <a:satMod val="130000"/>
                  </a:schemeClr>
                </a:gs>
                <a:gs pos="100000">
                  <a:schemeClr val="accent1">
                    <a:lumMod val="60000"/>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Statistique!$A$36:$A$65</c:f>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f>Statistique!$H$36:$H$65</c:f>
              <c:numCache>
                <c:formatCode>0</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ser>
        <c:ser>
          <c:idx val="7"/>
          <c:order val="7"/>
          <c:tx>
            <c:strRef>
              <c:f>Statistique!$I$35</c:f>
              <c:strCache>
                <c:ptCount val="1"/>
                <c:pt idx="0">
                  <c:v>Juillet</c:v>
                </c:pt>
              </c:strCache>
            </c:strRef>
          </c:tx>
          <c:spPr>
            <a:gradFill rotWithShape="1">
              <a:gsLst>
                <a:gs pos="0">
                  <a:schemeClr val="accent2">
                    <a:lumMod val="60000"/>
                    <a:shade val="51000"/>
                    <a:satMod val="130000"/>
                  </a:schemeClr>
                </a:gs>
                <a:gs pos="80000">
                  <a:schemeClr val="accent2">
                    <a:lumMod val="60000"/>
                    <a:shade val="93000"/>
                    <a:satMod val="130000"/>
                  </a:schemeClr>
                </a:gs>
                <a:gs pos="100000">
                  <a:schemeClr val="accent2">
                    <a:lumMod val="60000"/>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Statistique!$A$36:$A$65</c:f>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f>Statistique!$I$36:$I$65</c:f>
              <c:numCache>
                <c:formatCode>0</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ser>
        <c:ser>
          <c:idx val="8"/>
          <c:order val="8"/>
          <c:tx>
            <c:strRef>
              <c:f>Statistique!$J$35</c:f>
              <c:strCache>
                <c:ptCount val="1"/>
                <c:pt idx="0">
                  <c:v>Août</c:v>
                </c:pt>
              </c:strCache>
            </c:strRef>
          </c:tx>
          <c:spPr>
            <a:gradFill rotWithShape="1">
              <a:gsLst>
                <a:gs pos="0">
                  <a:schemeClr val="accent3">
                    <a:lumMod val="60000"/>
                    <a:shade val="51000"/>
                    <a:satMod val="130000"/>
                  </a:schemeClr>
                </a:gs>
                <a:gs pos="80000">
                  <a:schemeClr val="accent3">
                    <a:lumMod val="60000"/>
                    <a:shade val="93000"/>
                    <a:satMod val="130000"/>
                  </a:schemeClr>
                </a:gs>
                <a:gs pos="100000">
                  <a:schemeClr val="accent3">
                    <a:lumMod val="60000"/>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Statistique!$A$36:$A$65</c:f>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f>Statistique!$J$36:$J$65</c:f>
              <c:numCache>
                <c:formatCode>0</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ser>
        <c:ser>
          <c:idx val="9"/>
          <c:order val="9"/>
          <c:tx>
            <c:strRef>
              <c:f>Statistique!$K$35</c:f>
              <c:strCache>
                <c:ptCount val="1"/>
                <c:pt idx="0">
                  <c:v>Septembre</c:v>
                </c:pt>
              </c:strCache>
            </c:strRef>
          </c:tx>
          <c:spPr>
            <a:gradFill rotWithShape="1">
              <a:gsLst>
                <a:gs pos="0">
                  <a:schemeClr val="accent4">
                    <a:lumMod val="60000"/>
                    <a:shade val="51000"/>
                    <a:satMod val="130000"/>
                  </a:schemeClr>
                </a:gs>
                <a:gs pos="80000">
                  <a:schemeClr val="accent4">
                    <a:lumMod val="60000"/>
                    <a:shade val="93000"/>
                    <a:satMod val="130000"/>
                  </a:schemeClr>
                </a:gs>
                <a:gs pos="100000">
                  <a:schemeClr val="accent4">
                    <a:lumMod val="60000"/>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Statistique!$A$36:$A$65</c:f>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f>Statistique!$K$36:$K$65</c:f>
              <c:numCache>
                <c:formatCode>0</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ser>
        <c:ser>
          <c:idx val="10"/>
          <c:order val="10"/>
          <c:tx>
            <c:strRef>
              <c:f>Statistique!$L$35</c:f>
              <c:strCache>
                <c:ptCount val="1"/>
                <c:pt idx="0">
                  <c:v>Octobre</c:v>
                </c:pt>
              </c:strCache>
            </c:strRef>
          </c:tx>
          <c:spPr>
            <a:gradFill rotWithShape="1">
              <a:gsLst>
                <a:gs pos="0">
                  <a:schemeClr val="accent5">
                    <a:lumMod val="60000"/>
                    <a:shade val="51000"/>
                    <a:satMod val="130000"/>
                  </a:schemeClr>
                </a:gs>
                <a:gs pos="80000">
                  <a:schemeClr val="accent5">
                    <a:lumMod val="60000"/>
                    <a:shade val="93000"/>
                    <a:satMod val="130000"/>
                  </a:schemeClr>
                </a:gs>
                <a:gs pos="100000">
                  <a:schemeClr val="accent5">
                    <a:lumMod val="60000"/>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Statistique!$A$36:$A$65</c:f>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f>Statistique!$L$36:$L$65</c:f>
              <c:numCache>
                <c:formatCode>0</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ser>
        <c:ser>
          <c:idx val="11"/>
          <c:order val="11"/>
          <c:tx>
            <c:strRef>
              <c:f>Statistique!$M$35</c:f>
              <c:strCache>
                <c:ptCount val="1"/>
                <c:pt idx="0">
                  <c:v>Novembre</c:v>
                </c:pt>
              </c:strCache>
            </c:strRef>
          </c:tx>
          <c:spPr>
            <a:gradFill rotWithShape="1">
              <a:gsLst>
                <a:gs pos="0">
                  <a:schemeClr val="accent6">
                    <a:lumMod val="60000"/>
                    <a:shade val="51000"/>
                    <a:satMod val="130000"/>
                  </a:schemeClr>
                </a:gs>
                <a:gs pos="80000">
                  <a:schemeClr val="accent6">
                    <a:lumMod val="60000"/>
                    <a:shade val="93000"/>
                    <a:satMod val="130000"/>
                  </a:schemeClr>
                </a:gs>
                <a:gs pos="100000">
                  <a:schemeClr val="accent6">
                    <a:lumMod val="60000"/>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Statistique!$A$36:$A$65</c:f>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f>Statistique!$M$36:$M$65</c:f>
              <c:numCache>
                <c:formatCode>0</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ser>
        <c:ser>
          <c:idx val="12"/>
          <c:order val="12"/>
          <c:tx>
            <c:strRef>
              <c:f>Statistique!$N$35</c:f>
              <c:strCache>
                <c:ptCount val="1"/>
                <c:pt idx="0">
                  <c:v>Décembre</c:v>
                </c:pt>
              </c:strCache>
            </c:strRef>
          </c:tx>
          <c:spPr>
            <a:gradFill rotWithShape="1">
              <a:gsLst>
                <a:gs pos="0">
                  <a:schemeClr val="accent1">
                    <a:lumMod val="80000"/>
                    <a:lumOff val="20000"/>
                    <a:shade val="51000"/>
                    <a:satMod val="130000"/>
                  </a:schemeClr>
                </a:gs>
                <a:gs pos="80000">
                  <a:schemeClr val="accent1">
                    <a:lumMod val="80000"/>
                    <a:lumOff val="20000"/>
                    <a:shade val="93000"/>
                    <a:satMod val="130000"/>
                  </a:schemeClr>
                </a:gs>
                <a:gs pos="100000">
                  <a:schemeClr val="accent1">
                    <a:lumMod val="80000"/>
                    <a:lumOff val="20000"/>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Statistique!$A$36:$A$65</c:f>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f>Statistique!$N$36:$N$65</c:f>
              <c:numCache>
                <c:formatCode>0</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ser>
        <c:dLbls>
          <c:dLblPos val="outEnd"/>
          <c:showLegendKey val="0"/>
          <c:showVal val="1"/>
          <c:showCatName val="0"/>
          <c:showSerName val="0"/>
          <c:showPercent val="0"/>
          <c:showBubbleSize val="0"/>
        </c:dLbls>
        <c:gapWidth val="500"/>
        <c:overlap val="27"/>
        <c:axId val="195028256"/>
        <c:axId val="195028816"/>
        <c:extLst>
          <c:ext xmlns:c15="http://schemas.microsoft.com/office/drawing/2012/chart" uri="{02D57815-91ED-43cb-92C2-25804820EDAC}">
            <c15:filteredBarSeries>
              <c15:ser>
                <c:idx val="0"/>
                <c:order val="0"/>
                <c:tx>
                  <c:strRef>
                    <c:extLst>
                      <c:ext uri="{02D57815-91ED-43cb-92C2-25804820EDAC}">
                        <c15:formulaRef>
                          <c15:sqref>Statistique!$B$35</c15:sqref>
                        </c15:formulaRef>
                      </c:ext>
                    </c:extLst>
                    <c:strCache>
                      <c:ptCount val="1"/>
                    </c:strCache>
                  </c:strRef>
                </c:tx>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uri="{CE6537A1-D6FC-4f65-9D91-7224C49458BB}">
                      <c15:showLeaderLines val="1"/>
                      <c15:leaderLines>
                        <c:spPr>
                          <a:ln w="9525">
                            <a:solidFill>
                              <a:schemeClr val="lt1">
                                <a:lumMod val="95000"/>
                                <a:alpha val="54000"/>
                              </a:schemeClr>
                            </a:solidFill>
                          </a:ln>
                          <a:effectLst/>
                        </c:spPr>
                      </c15:leaderLines>
                    </c:ext>
                  </c:extLst>
                </c:dLbls>
                <c:cat>
                  <c:strRef>
                    <c:extLst>
                      <c:ext uri="{02D57815-91ED-43cb-92C2-25804820EDAC}">
                        <c15:formulaRef>
                          <c15:sqref>Statistique!$A$36:$A$65</c15:sqref>
                        </c15:formulaRef>
                      </c:ext>
                    </c:extLst>
                    <c:strCache>
                      <c:ptCount val="30"/>
                      <c:pt idx="0">
                        <c:v>A1</c:v>
                      </c:pt>
                      <c:pt idx="1">
                        <c:v>A2</c:v>
                      </c:pt>
                      <c:pt idx="2">
                        <c:v>A3</c:v>
                      </c:pt>
                      <c:pt idx="3">
                        <c:v>A4</c:v>
                      </c:pt>
                      <c:pt idx="4">
                        <c:v>A5</c:v>
                      </c:pt>
                      <c:pt idx="5">
                        <c:v>A6</c:v>
                      </c:pt>
                      <c:pt idx="6">
                        <c:v>A7</c:v>
                      </c:pt>
                      <c:pt idx="7">
                        <c:v>A8</c:v>
                      </c:pt>
                      <c:pt idx="8">
                        <c:v>A9</c:v>
                      </c:pt>
                      <c:pt idx="9">
                        <c:v>A10</c:v>
                      </c:pt>
                      <c:pt idx="10">
                        <c:v>A11</c:v>
                      </c:pt>
                      <c:pt idx="11">
                        <c:v>A12</c:v>
                      </c:pt>
                      <c:pt idx="12">
                        <c:v>A13</c:v>
                      </c:pt>
                      <c:pt idx="13">
                        <c:v>A14</c:v>
                      </c:pt>
                      <c:pt idx="14">
                        <c:v>A15</c:v>
                      </c:pt>
                      <c:pt idx="15">
                        <c:v>A16</c:v>
                      </c:pt>
                      <c:pt idx="16">
                        <c:v>A17</c:v>
                      </c:pt>
                      <c:pt idx="17">
                        <c:v>A18</c:v>
                      </c:pt>
                      <c:pt idx="18">
                        <c:v>A19</c:v>
                      </c:pt>
                      <c:pt idx="19">
                        <c:v>A20</c:v>
                      </c:pt>
                      <c:pt idx="20">
                        <c:v>A21</c:v>
                      </c:pt>
                      <c:pt idx="21">
                        <c:v>A22</c:v>
                      </c:pt>
                      <c:pt idx="22">
                        <c:v>A23</c:v>
                      </c:pt>
                      <c:pt idx="23">
                        <c:v>A24</c:v>
                      </c:pt>
                      <c:pt idx="24">
                        <c:v>A25</c:v>
                      </c:pt>
                      <c:pt idx="25">
                        <c:v>A26</c:v>
                      </c:pt>
                      <c:pt idx="26">
                        <c:v>A27</c:v>
                      </c:pt>
                      <c:pt idx="27">
                        <c:v>A28</c:v>
                      </c:pt>
                      <c:pt idx="28">
                        <c:v>A29</c:v>
                      </c:pt>
                      <c:pt idx="29">
                        <c:v>A30</c:v>
                      </c:pt>
                    </c:strCache>
                  </c:strRef>
                </c:cat>
                <c:val>
                  <c:numRef>
                    <c:extLst>
                      <c:ext uri="{02D57815-91ED-43cb-92C2-25804820EDAC}">
                        <c15:formulaRef>
                          <c15:sqref>Statistique!$B$36:$B$65</c15:sqref>
                        </c15:formulaRef>
                      </c:ext>
                    </c:extLst>
                    <c:numCache>
                      <c:formatCode>General</c:formatCode>
                      <c:ptCount val="30"/>
                    </c:numCache>
                  </c:numRef>
                </c:val>
              </c15:ser>
            </c15:filteredBarSeries>
          </c:ext>
        </c:extLst>
      </c:barChart>
      <c:catAx>
        <c:axId val="195028256"/>
        <c:scaling>
          <c:orientation val="minMax"/>
        </c:scaling>
        <c:delete val="0"/>
        <c:axPos val="b"/>
        <c:numFmt formatCode="General" sourceLinked="1"/>
        <c:majorTickMark val="none"/>
        <c:minorTickMark val="none"/>
        <c:tickLblPos val="nextTo"/>
        <c:spPr>
          <a:noFill/>
          <a:ln w="12700" cap="flat" cmpd="sng" algn="ctr">
            <a:solidFill>
              <a:schemeClr val="lt1">
                <a:lumMod val="95000"/>
                <a:alpha val="54000"/>
              </a:schemeClr>
            </a:solidFill>
            <a:round/>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195028816"/>
        <c:crosses val="autoZero"/>
        <c:auto val="1"/>
        <c:lblAlgn val="ctr"/>
        <c:lblOffset val="100"/>
        <c:noMultiLvlLbl val="0"/>
      </c:catAx>
      <c:valAx>
        <c:axId val="195028816"/>
        <c:scaling>
          <c:orientation val="minMax"/>
        </c:scaling>
        <c:delete val="0"/>
        <c:axPos val="l"/>
        <c:majorGridlines>
          <c:spPr>
            <a:ln w="9525" cap="flat" cmpd="sng" algn="ctr">
              <a:solidFill>
                <a:schemeClr val="lt1">
                  <a:lumMod val="95000"/>
                  <a:alpha val="10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195028256"/>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gap"/>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9">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lt1"/>
    </cs:fontRef>
  </cs:dataPoint>
  <cs:dataPoint3D>
    <cs:lnRef idx="0"/>
    <cs:fillRef idx="3">
      <cs:styleClr val="auto"/>
    </cs:fillRef>
    <cs:effectRef idx="3"/>
    <cs:fontRef idx="minor">
      <a:schemeClr val="lt1"/>
    </cs:fontRef>
  </cs:dataPoint3D>
  <cs:dataPointLine>
    <cs:lnRef idx="0">
      <cs:styleClr val="auto"/>
    </cs:lnRef>
    <cs:fillRef idx="3"/>
    <cs:effectRef idx="3"/>
    <cs:fontRef idx="minor">
      <a:schemeClr val="lt1"/>
    </cs:fontRef>
    <cs:spPr>
      <a:ln w="34925" cap="rnd">
        <a:solidFill>
          <a:schemeClr val="phClr"/>
        </a:solidFill>
        <a:round/>
      </a:ln>
    </cs:spPr>
  </cs:dataPointLine>
  <cs:dataPointMarker>
    <cs:lnRef idx="0">
      <cs:styleClr val="auto"/>
    </cs:lnRef>
    <cs:fillRef idx="3">
      <cs:styleClr val="auto"/>
    </cs:fillRef>
    <cs:effectRef idx="3"/>
    <cs:fontRef idx="minor">
      <a:schemeClr val="lt1"/>
    </cs:fontRef>
    <cs:spPr>
      <a:ln w="9525">
        <a:solidFill>
          <a:schemeClr val="phClr"/>
        </a:solidFill>
        <a:round/>
      </a:ln>
    </cs:spPr>
  </cs:dataPointMarker>
  <cs:dataPointMarkerLayout symbol="circle" size="6"/>
  <cs:dataPointWireframe>
    <cs:lnRef idx="0">
      <cs:styleClr val="auto"/>
    </cs:lnRef>
    <cs:fillRef idx="3"/>
    <cs:effectRef idx="3"/>
    <cs:fontRef idx="minor">
      <a:schemeClr val="lt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lt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lt1"/>
    </cs:fontRef>
    <cs:spPr>
      <a:ln w="9525">
        <a:solidFill>
          <a:schemeClr val="lt1">
            <a:lumMod val="95000"/>
            <a:alpha val="54000"/>
          </a:schemeClr>
        </a:solidFill>
        <a:prstDash val="dash"/>
      </a:ln>
    </cs:spPr>
  </cs:dropLine>
  <cs:errorBar>
    <cs:lnRef idx="0"/>
    <cs:fillRef idx="0"/>
    <cs:effectRef idx="0"/>
    <cs:fontRef idx="minor">
      <a:schemeClr val="lt1"/>
    </cs:fontRef>
    <cs:spPr>
      <a:ln w="9525" cap="flat" cmpd="sng" algn="ctr">
        <a:solidFill>
          <a:schemeClr val="lt1">
            <a:lumMod val="95000"/>
          </a:schemeClr>
        </a:solidFill>
        <a:round/>
      </a:ln>
    </cs:spPr>
  </cs:errorBar>
  <cs:floor>
    <cs:lnRef idx="0"/>
    <cs:fillRef idx="0"/>
    <cs:effectRef idx="0"/>
    <cs:fontRef idx="minor">
      <a:schemeClr val="lt1"/>
    </cs:fontRef>
  </cs:floor>
  <cs:gridlineMajor>
    <cs:lnRef idx="0"/>
    <cs:fillRef idx="0"/>
    <cs:effectRef idx="0"/>
    <cs:fontRef idx="minor">
      <a:schemeClr val="lt1"/>
    </cs:fontRef>
    <cs:spPr>
      <a:ln w="9525" cap="flat" cmpd="sng" algn="ctr">
        <a:solidFill>
          <a:schemeClr val="lt1">
            <a:lumMod val="95000"/>
            <a:alpha val="10000"/>
          </a:schemeClr>
        </a:solidFill>
        <a:round/>
      </a:ln>
    </cs:spPr>
  </cs:gridlineMajor>
  <cs:gridlineMinor>
    <cs:lnRef idx="0"/>
    <cs:fillRef idx="0"/>
    <cs:effectRef idx="0"/>
    <cs:fontRef idx="minor">
      <a:schemeClr val="lt1"/>
    </cs:fontRef>
    <cs:spPr>
      <a:ln>
        <a:solidFill>
          <a:schemeClr val="lt1">
            <a:lumMod val="95000"/>
            <a:alpha val="5000"/>
          </a:schemeClr>
        </a:solidFill>
      </a:ln>
    </cs:spPr>
  </cs:gridlineMinor>
  <cs:hiLoLine>
    <cs:lnRef idx="0"/>
    <cs:fillRef idx="0"/>
    <cs:effectRef idx="0"/>
    <cs:fontRef idx="minor">
      <a:schemeClr val="lt1"/>
    </cs:fontRef>
    <cs:spPr>
      <a:ln w="9525">
        <a:solidFill>
          <a:schemeClr val="lt1">
            <a:lumMod val="95000"/>
            <a:alpha val="54000"/>
          </a:schemeClr>
        </a:solidFill>
        <a:prstDash val="dash"/>
      </a:ln>
    </cs:spPr>
  </cs:hiLoLine>
  <cs:leaderLine>
    <cs:lnRef idx="0"/>
    <cs:fillRef idx="0"/>
    <cs:effectRef idx="0"/>
    <cs:fontRef idx="minor">
      <a:schemeClr val="lt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lt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lt1"/>
    </cs:fontRef>
  </cs:wall>
</cs:chartStyle>
</file>

<file path=xl/charts/style2.xml><?xml version="1.0" encoding="utf-8"?>
<cs:chartStyle xmlns:cs="http://schemas.microsoft.com/office/drawing/2012/chartStyle" xmlns:a="http://schemas.openxmlformats.org/drawingml/2006/main" id="209">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lt1"/>
    </cs:fontRef>
  </cs:dataPoint>
  <cs:dataPoint3D>
    <cs:lnRef idx="0"/>
    <cs:fillRef idx="3">
      <cs:styleClr val="auto"/>
    </cs:fillRef>
    <cs:effectRef idx="3"/>
    <cs:fontRef idx="minor">
      <a:schemeClr val="lt1"/>
    </cs:fontRef>
  </cs:dataPoint3D>
  <cs:dataPointLine>
    <cs:lnRef idx="0">
      <cs:styleClr val="auto"/>
    </cs:lnRef>
    <cs:fillRef idx="3"/>
    <cs:effectRef idx="3"/>
    <cs:fontRef idx="minor">
      <a:schemeClr val="lt1"/>
    </cs:fontRef>
    <cs:spPr>
      <a:ln w="34925" cap="rnd">
        <a:solidFill>
          <a:schemeClr val="phClr"/>
        </a:solidFill>
        <a:round/>
      </a:ln>
    </cs:spPr>
  </cs:dataPointLine>
  <cs:dataPointMarker>
    <cs:lnRef idx="0">
      <cs:styleClr val="auto"/>
    </cs:lnRef>
    <cs:fillRef idx="3">
      <cs:styleClr val="auto"/>
    </cs:fillRef>
    <cs:effectRef idx="3"/>
    <cs:fontRef idx="minor">
      <a:schemeClr val="lt1"/>
    </cs:fontRef>
    <cs:spPr>
      <a:ln w="9525">
        <a:solidFill>
          <a:schemeClr val="phClr"/>
        </a:solidFill>
        <a:round/>
      </a:ln>
    </cs:spPr>
  </cs:dataPointMarker>
  <cs:dataPointMarkerLayout symbol="circle" size="6"/>
  <cs:dataPointWireframe>
    <cs:lnRef idx="0">
      <cs:styleClr val="auto"/>
    </cs:lnRef>
    <cs:fillRef idx="3"/>
    <cs:effectRef idx="3"/>
    <cs:fontRef idx="minor">
      <a:schemeClr val="lt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lt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lt1"/>
    </cs:fontRef>
    <cs:spPr>
      <a:ln w="9525">
        <a:solidFill>
          <a:schemeClr val="lt1">
            <a:lumMod val="95000"/>
            <a:alpha val="54000"/>
          </a:schemeClr>
        </a:solidFill>
        <a:prstDash val="dash"/>
      </a:ln>
    </cs:spPr>
  </cs:dropLine>
  <cs:errorBar>
    <cs:lnRef idx="0"/>
    <cs:fillRef idx="0"/>
    <cs:effectRef idx="0"/>
    <cs:fontRef idx="minor">
      <a:schemeClr val="lt1"/>
    </cs:fontRef>
    <cs:spPr>
      <a:ln w="9525" cap="flat" cmpd="sng" algn="ctr">
        <a:solidFill>
          <a:schemeClr val="lt1">
            <a:lumMod val="95000"/>
          </a:schemeClr>
        </a:solidFill>
        <a:round/>
      </a:ln>
    </cs:spPr>
  </cs:errorBar>
  <cs:floor>
    <cs:lnRef idx="0"/>
    <cs:fillRef idx="0"/>
    <cs:effectRef idx="0"/>
    <cs:fontRef idx="minor">
      <a:schemeClr val="lt1"/>
    </cs:fontRef>
  </cs:floor>
  <cs:gridlineMajor>
    <cs:lnRef idx="0"/>
    <cs:fillRef idx="0"/>
    <cs:effectRef idx="0"/>
    <cs:fontRef idx="minor">
      <a:schemeClr val="lt1"/>
    </cs:fontRef>
    <cs:spPr>
      <a:ln w="9525" cap="flat" cmpd="sng" algn="ctr">
        <a:solidFill>
          <a:schemeClr val="lt1">
            <a:lumMod val="95000"/>
            <a:alpha val="10000"/>
          </a:schemeClr>
        </a:solidFill>
        <a:round/>
      </a:ln>
    </cs:spPr>
  </cs:gridlineMajor>
  <cs:gridlineMinor>
    <cs:lnRef idx="0"/>
    <cs:fillRef idx="0"/>
    <cs:effectRef idx="0"/>
    <cs:fontRef idx="minor">
      <a:schemeClr val="lt1"/>
    </cs:fontRef>
    <cs:spPr>
      <a:ln>
        <a:solidFill>
          <a:schemeClr val="lt1">
            <a:lumMod val="95000"/>
            <a:alpha val="5000"/>
          </a:schemeClr>
        </a:solidFill>
      </a:ln>
    </cs:spPr>
  </cs:gridlineMinor>
  <cs:hiLoLine>
    <cs:lnRef idx="0"/>
    <cs:fillRef idx="0"/>
    <cs:effectRef idx="0"/>
    <cs:fontRef idx="minor">
      <a:schemeClr val="lt1"/>
    </cs:fontRef>
    <cs:spPr>
      <a:ln w="9525">
        <a:solidFill>
          <a:schemeClr val="lt1">
            <a:lumMod val="95000"/>
            <a:alpha val="54000"/>
          </a:schemeClr>
        </a:solidFill>
        <a:prstDash val="dash"/>
      </a:ln>
    </cs:spPr>
  </cs:hiLoLine>
  <cs:leaderLine>
    <cs:lnRef idx="0"/>
    <cs:fillRef idx="0"/>
    <cs:effectRef idx="0"/>
    <cs:fontRef idx="minor">
      <a:schemeClr val="lt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lt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lt1"/>
    </cs:fontRef>
  </cs:wall>
</cs:chartStyle>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3" Type="http://schemas.openxmlformats.org/officeDocument/2006/relationships/chart" Target="../charts/chart1.xml"/><Relationship Id="rId2" Type="http://schemas.openxmlformats.org/officeDocument/2006/relationships/image" Target="../media/image2.png"/><Relationship Id="rId1" Type="http://schemas.openxmlformats.org/officeDocument/2006/relationships/image" Target="../media/image3.png"/><Relationship Id="rId4" Type="http://schemas.openxmlformats.org/officeDocument/2006/relationships/chart" Target="../charts/chart2.xml"/></Relationships>
</file>

<file path=xl/drawings/_rels/drawing3.xml.rels><?xml version="1.0" encoding="UTF-8" standalone="yes"?>
<Relationships xmlns="http://schemas.openxmlformats.org/package/2006/relationships"><Relationship Id="rId1" Type="http://schemas.openxmlformats.org/officeDocument/2006/relationships/image" Target="../media/image4.png"/></Relationships>
</file>

<file path=xl/drawings/_rels/drawing4.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3.png"/></Relationships>
</file>

<file path=xl/drawings/_rels/drawing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3.png"/></Relationships>
</file>

<file path=xl/drawings/_rels/drawing6.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3.png"/></Relationships>
</file>

<file path=xl/drawings/_rels/drawing7.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3.png"/></Relationships>
</file>

<file path=xl/drawings/_rels/drawing8.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3.png"/></Relationships>
</file>

<file path=xl/drawings/_rels/drawing9.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3.png"/></Relationships>
</file>

<file path=xl/drawings/_rels/drawing10.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3.png"/></Relationships>
</file>

<file path=xl/drawings/_rels/drawing1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3.png"/></Relationships>
</file>

<file path=xl/drawings/_rels/drawing12.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3.png"/></Relationships>
</file>

<file path=xl/drawings/_rels/drawing13.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3.png"/></Relationships>
</file>

<file path=xl/drawings/_rels/drawing14.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3.png"/></Relationships>
</file>

<file path=xl/drawings/_rels/drawing1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oneCell">
    <xdr:from>
      <xdr:col>0</xdr:col>
      <xdr:colOff>66675</xdr:colOff>
      <xdr:row>0</xdr:row>
      <xdr:rowOff>114299</xdr:rowOff>
    </xdr:from>
    <xdr:to>
      <xdr:col>3</xdr:col>
      <xdr:colOff>276225</xdr:colOff>
      <xdr:row>14</xdr:row>
      <xdr:rowOff>142875</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6675" y="114299"/>
          <a:ext cx="2495550" cy="2838451"/>
        </a:xfrm>
        <a:prstGeom prst="rect">
          <a:avLst/>
        </a:prstGeom>
      </xdr:spPr>
    </xdr:pic>
    <xdr:clientData/>
  </xdr:twoCellAnchor>
  <xdr:twoCellAnchor>
    <xdr:from>
      <xdr:col>3</xdr:col>
      <xdr:colOff>514350</xdr:colOff>
      <xdr:row>7</xdr:row>
      <xdr:rowOff>9525</xdr:rowOff>
    </xdr:from>
    <xdr:to>
      <xdr:col>6</xdr:col>
      <xdr:colOff>9525</xdr:colOff>
      <xdr:row>9</xdr:row>
      <xdr:rowOff>142875</xdr:rowOff>
    </xdr:to>
    <xdr:sp macro="[0]!Calendrier" textlink="">
      <xdr:nvSpPr>
        <xdr:cNvPr id="5" name="Rectangle à coins arrondis 4"/>
        <xdr:cNvSpPr/>
      </xdr:nvSpPr>
      <xdr:spPr>
        <a:xfrm>
          <a:off x="2800350" y="1485900"/>
          <a:ext cx="1781175" cy="514350"/>
        </a:xfrm>
        <a:prstGeom prst="roundRect">
          <a:avLst/>
        </a:prstGeom>
        <a:ln/>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fr-FR" sz="2000" b="1" i="1"/>
            <a:t>Calendrier</a:t>
          </a:r>
        </a:p>
      </xdr:txBody>
    </xdr:sp>
    <xdr:clientData/>
  </xdr:twoCellAnchor>
  <xdr:twoCellAnchor>
    <xdr:from>
      <xdr:col>5</xdr:col>
      <xdr:colOff>342900</xdr:colOff>
      <xdr:row>10</xdr:row>
      <xdr:rowOff>123825</xdr:rowOff>
    </xdr:from>
    <xdr:to>
      <xdr:col>7</xdr:col>
      <xdr:colOff>600075</xdr:colOff>
      <xdr:row>13</xdr:row>
      <xdr:rowOff>66675</xdr:rowOff>
    </xdr:to>
    <xdr:sp macro="[0]!Statistique" textlink="">
      <xdr:nvSpPr>
        <xdr:cNvPr id="18" name="Rectangle à coins arrondis 17"/>
        <xdr:cNvSpPr/>
      </xdr:nvSpPr>
      <xdr:spPr>
        <a:xfrm>
          <a:off x="4152900" y="2171700"/>
          <a:ext cx="1781175" cy="514350"/>
        </a:xfrm>
        <a:prstGeom prst="roundRect">
          <a:avLst/>
        </a:prstGeom>
        <a:ln/>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fr-FR" sz="2000" b="1" i="1"/>
            <a:t>Statistique</a:t>
          </a:r>
        </a:p>
      </xdr:txBody>
    </xdr:sp>
    <xdr:clientData/>
  </xdr:twoCellAnchor>
  <xdr:twoCellAnchor>
    <xdr:from>
      <xdr:col>7</xdr:col>
      <xdr:colOff>133350</xdr:colOff>
      <xdr:row>14</xdr:row>
      <xdr:rowOff>57150</xdr:rowOff>
    </xdr:from>
    <xdr:to>
      <xdr:col>9</xdr:col>
      <xdr:colOff>390525</xdr:colOff>
      <xdr:row>17</xdr:row>
      <xdr:rowOff>0</xdr:rowOff>
    </xdr:to>
    <xdr:sp macro="[0]!Paramètre" textlink="">
      <xdr:nvSpPr>
        <xdr:cNvPr id="19" name="Rectangle à coins arrondis 18"/>
        <xdr:cNvSpPr/>
      </xdr:nvSpPr>
      <xdr:spPr>
        <a:xfrm>
          <a:off x="5467350" y="2867025"/>
          <a:ext cx="1781175" cy="514350"/>
        </a:xfrm>
        <a:prstGeom prst="roundRect">
          <a:avLst/>
        </a:prstGeom>
        <a:ln/>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fr-FR" sz="2000" b="1" i="1"/>
            <a:t>Paramètre</a:t>
          </a:r>
        </a:p>
      </xdr:txBody>
    </xdr:sp>
    <xdr:clientData/>
  </xdr:twoCellAnchor>
  <xdr:twoCellAnchor editAs="oneCell">
    <xdr:from>
      <xdr:col>10</xdr:col>
      <xdr:colOff>523875</xdr:colOff>
      <xdr:row>12</xdr:row>
      <xdr:rowOff>123825</xdr:rowOff>
    </xdr:from>
    <xdr:to>
      <xdr:col>11</xdr:col>
      <xdr:colOff>638175</xdr:colOff>
      <xdr:row>17</xdr:row>
      <xdr:rowOff>75381</xdr:rowOff>
    </xdr:to>
    <xdr:pic macro="[0]!enregistrer">
      <xdr:nvPicPr>
        <xdr:cNvPr id="7" name="Image 6"/>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43875" y="2552700"/>
          <a:ext cx="876300" cy="904056"/>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13</xdr:col>
      <xdr:colOff>322983</xdr:colOff>
      <xdr:row>0</xdr:row>
      <xdr:rowOff>95250</xdr:rowOff>
    </xdr:from>
    <xdr:to>
      <xdr:col>14</xdr:col>
      <xdr:colOff>114299</xdr:colOff>
      <xdr:row>3</xdr:row>
      <xdr:rowOff>38100</xdr:rowOff>
    </xdr:to>
    <xdr:pic macro="[0]!Accueil_Statistique">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324233" y="95250"/>
          <a:ext cx="553316" cy="514350"/>
        </a:xfrm>
        <a:prstGeom prst="rect">
          <a:avLst/>
        </a:prstGeom>
      </xdr:spPr>
    </xdr:pic>
    <xdr:clientData/>
  </xdr:twoCellAnchor>
  <xdr:twoCellAnchor editAs="oneCell">
    <xdr:from>
      <xdr:col>12</xdr:col>
      <xdr:colOff>552450</xdr:colOff>
      <xdr:row>0</xdr:row>
      <xdr:rowOff>76200</xdr:rowOff>
    </xdr:from>
    <xdr:to>
      <xdr:col>13</xdr:col>
      <xdr:colOff>266700</xdr:colOff>
      <xdr:row>2</xdr:row>
      <xdr:rowOff>186535</xdr:rowOff>
    </xdr:to>
    <xdr:pic macro="[0]!enregistrer">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9791700" y="76200"/>
          <a:ext cx="476250" cy="491335"/>
        </a:xfrm>
        <a:prstGeom prst="rect">
          <a:avLst/>
        </a:prstGeom>
      </xdr:spPr>
    </xdr:pic>
    <xdr:clientData/>
  </xdr:twoCellAnchor>
  <xdr:twoCellAnchor>
    <xdr:from>
      <xdr:col>0</xdr:col>
      <xdr:colOff>857250</xdr:colOff>
      <xdr:row>16</xdr:row>
      <xdr:rowOff>61912</xdr:rowOff>
    </xdr:from>
    <xdr:to>
      <xdr:col>13</xdr:col>
      <xdr:colOff>9525</xdr:colOff>
      <xdr:row>30</xdr:row>
      <xdr:rowOff>133350</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xdr:col>
      <xdr:colOff>0</xdr:colOff>
      <xdr:row>67</xdr:row>
      <xdr:rowOff>100012</xdr:rowOff>
    </xdr:from>
    <xdr:to>
      <xdr:col>16</xdr:col>
      <xdr:colOff>95250</xdr:colOff>
      <xdr:row>92</xdr:row>
      <xdr:rowOff>114300</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editAs="oneCell">
    <xdr:from>
      <xdr:col>3</xdr:col>
      <xdr:colOff>285750</xdr:colOff>
      <xdr:row>0</xdr:row>
      <xdr:rowOff>0</xdr:rowOff>
    </xdr:from>
    <xdr:to>
      <xdr:col>4</xdr:col>
      <xdr:colOff>200025</xdr:colOff>
      <xdr:row>3</xdr:row>
      <xdr:rowOff>104775</xdr:rowOff>
    </xdr:to>
    <xdr:pic macro="[0]!Accueil_Paramètre">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010150" y="0"/>
          <a:ext cx="676275" cy="68580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30</xdr:col>
      <xdr:colOff>218209</xdr:colOff>
      <xdr:row>0</xdr:row>
      <xdr:rowOff>19050</xdr:rowOff>
    </xdr:from>
    <xdr:to>
      <xdr:col>32</xdr:col>
      <xdr:colOff>142875</xdr:colOff>
      <xdr:row>0</xdr:row>
      <xdr:rowOff>533400</xdr:rowOff>
    </xdr:to>
    <xdr:pic macro="[0]!Accueil">
      <xdr:nvPicPr>
        <xdr:cNvPr id="3" name="Image 2">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914784" y="19050"/>
          <a:ext cx="553316" cy="514350"/>
        </a:xfrm>
        <a:prstGeom prst="rect">
          <a:avLst/>
        </a:prstGeom>
      </xdr:spPr>
    </xdr:pic>
    <xdr:clientData/>
  </xdr:twoCellAnchor>
  <xdr:twoCellAnchor editAs="oneCell">
    <xdr:from>
      <xdr:col>29</xdr:col>
      <xdr:colOff>1</xdr:colOff>
      <xdr:row>0</xdr:row>
      <xdr:rowOff>0</xdr:rowOff>
    </xdr:from>
    <xdr:to>
      <xdr:col>30</xdr:col>
      <xdr:colOff>161926</xdr:colOff>
      <xdr:row>0</xdr:row>
      <xdr:rowOff>491335</xdr:rowOff>
    </xdr:to>
    <xdr:pic macro="[0]!enregistrer">
      <xdr:nvPicPr>
        <xdr:cNvPr id="4" name="Image 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382251" y="0"/>
          <a:ext cx="476250" cy="491335"/>
        </a:xfrm>
        <a:prstGeom prst="rect">
          <a:avLst/>
        </a:prstGeom>
      </xdr:spPr>
    </xdr:pic>
    <xdr:clientData/>
  </xdr:twoCellAnchor>
  <xdr:twoCellAnchor>
    <xdr:from>
      <xdr:col>29</xdr:col>
      <xdr:colOff>9525</xdr:colOff>
      <xdr:row>0</xdr:row>
      <xdr:rowOff>533401</xdr:rowOff>
    </xdr:from>
    <xdr:to>
      <xdr:col>32</xdr:col>
      <xdr:colOff>161925</xdr:colOff>
      <xdr:row>2</xdr:row>
      <xdr:rowOff>104775</xdr:rowOff>
    </xdr:to>
    <xdr:sp macro="[0]!R0_01" textlink="">
      <xdr:nvSpPr>
        <xdr:cNvPr id="5" name="Rectangle à coins arrondis 4"/>
        <xdr:cNvSpPr/>
      </xdr:nvSpPr>
      <xdr:spPr>
        <a:xfrm>
          <a:off x="10391775" y="533401"/>
          <a:ext cx="1095375" cy="3905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algn="ctr"/>
          <a:r>
            <a:rPr lang="fr-FR" sz="1800" b="1"/>
            <a:t>Clear</a:t>
          </a:r>
        </a:p>
      </xdr:txBody>
    </xdr:sp>
    <xdr:clientData/>
  </xdr:twoCellAnchor>
</xdr:wsDr>
</file>

<file path=xl/drawings/drawing5.xml><?xml version="1.0" encoding="utf-8"?>
<xdr:wsDr xmlns:xdr="http://schemas.openxmlformats.org/drawingml/2006/spreadsheetDrawing" xmlns:a="http://schemas.openxmlformats.org/drawingml/2006/main">
  <xdr:twoCellAnchor editAs="oneCell">
    <xdr:from>
      <xdr:col>30</xdr:col>
      <xdr:colOff>237258</xdr:colOff>
      <xdr:row>0</xdr:row>
      <xdr:rowOff>28575</xdr:rowOff>
    </xdr:from>
    <xdr:to>
      <xdr:col>32</xdr:col>
      <xdr:colOff>161924</xdr:colOff>
      <xdr:row>0</xdr:row>
      <xdr:rowOff>542925</xdr:rowOff>
    </xdr:to>
    <xdr:pic macro="[0]!Accueil">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933833" y="28575"/>
          <a:ext cx="553316" cy="514350"/>
        </a:xfrm>
        <a:prstGeom prst="rect">
          <a:avLst/>
        </a:prstGeom>
      </xdr:spPr>
    </xdr:pic>
    <xdr:clientData/>
  </xdr:twoCellAnchor>
  <xdr:twoCellAnchor editAs="oneCell">
    <xdr:from>
      <xdr:col>29</xdr:col>
      <xdr:colOff>19050</xdr:colOff>
      <xdr:row>0</xdr:row>
      <xdr:rowOff>9525</xdr:rowOff>
    </xdr:from>
    <xdr:to>
      <xdr:col>30</xdr:col>
      <xdr:colOff>180975</xdr:colOff>
      <xdr:row>0</xdr:row>
      <xdr:rowOff>500860</xdr:rowOff>
    </xdr:to>
    <xdr:pic macro="[0]!enregistrer">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401300" y="9525"/>
          <a:ext cx="476250" cy="491335"/>
        </a:xfrm>
        <a:prstGeom prst="rect">
          <a:avLst/>
        </a:prstGeom>
      </xdr:spPr>
    </xdr:pic>
    <xdr:clientData/>
  </xdr:twoCellAnchor>
  <xdr:twoCellAnchor>
    <xdr:from>
      <xdr:col>29</xdr:col>
      <xdr:colOff>28574</xdr:colOff>
      <xdr:row>0</xdr:row>
      <xdr:rowOff>542926</xdr:rowOff>
    </xdr:from>
    <xdr:to>
      <xdr:col>32</xdr:col>
      <xdr:colOff>180974</xdr:colOff>
      <xdr:row>2</xdr:row>
      <xdr:rowOff>114300</xdr:rowOff>
    </xdr:to>
    <xdr:sp macro="[0]!R0_02" textlink="">
      <xdr:nvSpPr>
        <xdr:cNvPr id="4" name="Rectangle à coins arrondis 3"/>
        <xdr:cNvSpPr/>
      </xdr:nvSpPr>
      <xdr:spPr>
        <a:xfrm>
          <a:off x="10410824" y="542926"/>
          <a:ext cx="1095375" cy="3905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algn="ctr"/>
          <a:r>
            <a:rPr lang="fr-FR" sz="1800" b="1"/>
            <a:t>Clear</a:t>
          </a: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30</xdr:col>
      <xdr:colOff>299700</xdr:colOff>
      <xdr:row>0</xdr:row>
      <xdr:rowOff>29633</xdr:rowOff>
    </xdr:from>
    <xdr:to>
      <xdr:col>32</xdr:col>
      <xdr:colOff>218016</xdr:colOff>
      <xdr:row>0</xdr:row>
      <xdr:rowOff>543983</xdr:rowOff>
    </xdr:to>
    <xdr:pic macro="[0]!Accueil">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084117" y="29633"/>
          <a:ext cx="553316" cy="514350"/>
        </a:xfrm>
        <a:prstGeom prst="rect">
          <a:avLst/>
        </a:prstGeom>
      </xdr:spPr>
    </xdr:pic>
    <xdr:clientData/>
  </xdr:twoCellAnchor>
  <xdr:twoCellAnchor editAs="oneCell">
    <xdr:from>
      <xdr:col>29</xdr:col>
      <xdr:colOff>84667</xdr:colOff>
      <xdr:row>0</xdr:row>
      <xdr:rowOff>10583</xdr:rowOff>
    </xdr:from>
    <xdr:to>
      <xdr:col>30</xdr:col>
      <xdr:colOff>243417</xdr:colOff>
      <xdr:row>0</xdr:row>
      <xdr:rowOff>501918</xdr:rowOff>
    </xdr:to>
    <xdr:pic macro="[0]!enregistrer">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551584" y="10583"/>
          <a:ext cx="476250" cy="491335"/>
        </a:xfrm>
        <a:prstGeom prst="rect">
          <a:avLst/>
        </a:prstGeom>
      </xdr:spPr>
    </xdr:pic>
    <xdr:clientData/>
  </xdr:twoCellAnchor>
  <xdr:twoCellAnchor>
    <xdr:from>
      <xdr:col>29</xdr:col>
      <xdr:colOff>94191</xdr:colOff>
      <xdr:row>0</xdr:row>
      <xdr:rowOff>543984</xdr:rowOff>
    </xdr:from>
    <xdr:to>
      <xdr:col>32</xdr:col>
      <xdr:colOff>237066</xdr:colOff>
      <xdr:row>2</xdr:row>
      <xdr:rowOff>119591</xdr:rowOff>
    </xdr:to>
    <xdr:sp macro="[0]!R0_03" textlink="">
      <xdr:nvSpPr>
        <xdr:cNvPr id="4" name="Rectangle à coins arrondis 3"/>
        <xdr:cNvSpPr/>
      </xdr:nvSpPr>
      <xdr:spPr>
        <a:xfrm>
          <a:off x="10561108" y="543984"/>
          <a:ext cx="1095375" cy="3905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algn="ctr"/>
          <a:r>
            <a:rPr lang="fr-FR" sz="1800" b="1"/>
            <a:t>Clear</a:t>
          </a:r>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30</xdr:col>
      <xdr:colOff>219572</xdr:colOff>
      <xdr:row>0</xdr:row>
      <xdr:rowOff>40217</xdr:rowOff>
    </xdr:from>
    <xdr:to>
      <xdr:col>32</xdr:col>
      <xdr:colOff>146959</xdr:colOff>
      <xdr:row>0</xdr:row>
      <xdr:rowOff>554567</xdr:rowOff>
    </xdr:to>
    <xdr:pic macro="[0]!Accueil">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003989" y="40217"/>
          <a:ext cx="562387" cy="514350"/>
        </a:xfrm>
        <a:prstGeom prst="rect">
          <a:avLst/>
        </a:prstGeom>
      </xdr:spPr>
    </xdr:pic>
    <xdr:clientData/>
  </xdr:twoCellAnchor>
  <xdr:twoCellAnchor editAs="oneCell">
    <xdr:from>
      <xdr:col>29</xdr:col>
      <xdr:colOff>3</xdr:colOff>
      <xdr:row>0</xdr:row>
      <xdr:rowOff>21167</xdr:rowOff>
    </xdr:from>
    <xdr:to>
      <xdr:col>30</xdr:col>
      <xdr:colOff>163289</xdr:colOff>
      <xdr:row>0</xdr:row>
      <xdr:rowOff>512502</xdr:rowOff>
    </xdr:to>
    <xdr:pic macro="[0]!enregistrer">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466920" y="21167"/>
          <a:ext cx="480786" cy="491335"/>
        </a:xfrm>
        <a:prstGeom prst="rect">
          <a:avLst/>
        </a:prstGeom>
      </xdr:spPr>
    </xdr:pic>
    <xdr:clientData/>
  </xdr:twoCellAnchor>
  <xdr:twoCellAnchor>
    <xdr:from>
      <xdr:col>29</xdr:col>
      <xdr:colOff>9527</xdr:colOff>
      <xdr:row>0</xdr:row>
      <xdr:rowOff>554568</xdr:rowOff>
    </xdr:from>
    <xdr:to>
      <xdr:col>32</xdr:col>
      <xdr:colOff>166009</xdr:colOff>
      <xdr:row>2</xdr:row>
      <xdr:rowOff>128663</xdr:rowOff>
    </xdr:to>
    <xdr:sp macro="[0]!R0_04" textlink="">
      <xdr:nvSpPr>
        <xdr:cNvPr id="4" name="Rectangle à coins arrondis 3"/>
        <xdr:cNvSpPr/>
      </xdr:nvSpPr>
      <xdr:spPr>
        <a:xfrm>
          <a:off x="10476444" y="554568"/>
          <a:ext cx="1108982" cy="389012"/>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algn="ctr"/>
          <a:r>
            <a:rPr lang="fr-FR" sz="1800" b="1"/>
            <a:t>Clear</a:t>
          </a:r>
        </a:p>
      </xdr:txBody>
    </xdr:sp>
    <xdr:clientData/>
  </xdr:twoCellAnchor>
</xdr:wsDr>
</file>

<file path=xl/drawings/drawing8.xml><?xml version="1.0" encoding="utf-8"?>
<xdr:wsDr xmlns:xdr="http://schemas.openxmlformats.org/drawingml/2006/spreadsheetDrawing" xmlns:a="http://schemas.openxmlformats.org/drawingml/2006/main">
  <xdr:twoCellAnchor editAs="oneCell">
    <xdr:from>
      <xdr:col>30</xdr:col>
      <xdr:colOff>270369</xdr:colOff>
      <xdr:row>0</xdr:row>
      <xdr:rowOff>47625</xdr:rowOff>
    </xdr:from>
    <xdr:to>
      <xdr:col>32</xdr:col>
      <xdr:colOff>204106</xdr:colOff>
      <xdr:row>0</xdr:row>
      <xdr:rowOff>561975</xdr:rowOff>
    </xdr:to>
    <xdr:pic macro="[0]!Accueil">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966944" y="47625"/>
          <a:ext cx="562387" cy="514350"/>
        </a:xfrm>
        <a:prstGeom prst="rect">
          <a:avLst/>
        </a:prstGeom>
      </xdr:spPr>
    </xdr:pic>
    <xdr:clientData/>
  </xdr:twoCellAnchor>
  <xdr:twoCellAnchor editAs="oneCell">
    <xdr:from>
      <xdr:col>29</xdr:col>
      <xdr:colOff>47625</xdr:colOff>
      <xdr:row>0</xdr:row>
      <xdr:rowOff>28575</xdr:rowOff>
    </xdr:from>
    <xdr:to>
      <xdr:col>30</xdr:col>
      <xdr:colOff>214086</xdr:colOff>
      <xdr:row>0</xdr:row>
      <xdr:rowOff>519910</xdr:rowOff>
    </xdr:to>
    <xdr:pic macro="[0]!enregistrer">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429875" y="28575"/>
          <a:ext cx="480786" cy="491335"/>
        </a:xfrm>
        <a:prstGeom prst="rect">
          <a:avLst/>
        </a:prstGeom>
      </xdr:spPr>
    </xdr:pic>
    <xdr:clientData/>
  </xdr:twoCellAnchor>
  <xdr:twoCellAnchor>
    <xdr:from>
      <xdr:col>29</xdr:col>
      <xdr:colOff>57149</xdr:colOff>
      <xdr:row>0</xdr:row>
      <xdr:rowOff>561976</xdr:rowOff>
    </xdr:from>
    <xdr:to>
      <xdr:col>32</xdr:col>
      <xdr:colOff>223156</xdr:colOff>
      <xdr:row>2</xdr:row>
      <xdr:rowOff>131838</xdr:rowOff>
    </xdr:to>
    <xdr:sp macro="[0]!R0_05" textlink="">
      <xdr:nvSpPr>
        <xdr:cNvPr id="4" name="Rectangle à coins arrondis 3"/>
        <xdr:cNvSpPr/>
      </xdr:nvSpPr>
      <xdr:spPr>
        <a:xfrm>
          <a:off x="10439399" y="561976"/>
          <a:ext cx="1108982" cy="389012"/>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algn="ctr"/>
          <a:r>
            <a:rPr lang="fr-FR" sz="1800" b="1"/>
            <a:t>Clear</a:t>
          </a:r>
        </a:p>
      </xdr:txBody>
    </xdr:sp>
    <xdr:clientData/>
  </xdr:twoCellAnchor>
</xdr:wsDr>
</file>

<file path=xl/drawings/drawing9.xml><?xml version="1.0" encoding="utf-8"?>
<xdr:wsDr xmlns:xdr="http://schemas.openxmlformats.org/drawingml/2006/spreadsheetDrawing" xmlns:a="http://schemas.openxmlformats.org/drawingml/2006/main">
  <xdr:twoCellAnchor editAs="oneCell">
    <xdr:from>
      <xdr:col>30</xdr:col>
      <xdr:colOff>222744</xdr:colOff>
      <xdr:row>0</xdr:row>
      <xdr:rowOff>19050</xdr:rowOff>
    </xdr:from>
    <xdr:to>
      <xdr:col>32</xdr:col>
      <xdr:colOff>156481</xdr:colOff>
      <xdr:row>0</xdr:row>
      <xdr:rowOff>533400</xdr:rowOff>
    </xdr:to>
    <xdr:pic macro="[0]!Accueil">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919319" y="19050"/>
          <a:ext cx="562387" cy="514350"/>
        </a:xfrm>
        <a:prstGeom prst="rect">
          <a:avLst/>
        </a:prstGeom>
      </xdr:spPr>
    </xdr:pic>
    <xdr:clientData/>
  </xdr:twoCellAnchor>
  <xdr:twoCellAnchor editAs="oneCell">
    <xdr:from>
      <xdr:col>29</xdr:col>
      <xdr:colOff>0</xdr:colOff>
      <xdr:row>0</xdr:row>
      <xdr:rowOff>0</xdr:rowOff>
    </xdr:from>
    <xdr:to>
      <xdr:col>30</xdr:col>
      <xdr:colOff>166461</xdr:colOff>
      <xdr:row>0</xdr:row>
      <xdr:rowOff>491335</xdr:rowOff>
    </xdr:to>
    <xdr:pic macro="[0]!enregistrer">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382250" y="0"/>
          <a:ext cx="480786" cy="491335"/>
        </a:xfrm>
        <a:prstGeom prst="rect">
          <a:avLst/>
        </a:prstGeom>
      </xdr:spPr>
    </xdr:pic>
    <xdr:clientData/>
  </xdr:twoCellAnchor>
  <xdr:twoCellAnchor>
    <xdr:from>
      <xdr:col>29</xdr:col>
      <xdr:colOff>9524</xdr:colOff>
      <xdr:row>0</xdr:row>
      <xdr:rowOff>533401</xdr:rowOff>
    </xdr:from>
    <xdr:to>
      <xdr:col>32</xdr:col>
      <xdr:colOff>175531</xdr:colOff>
      <xdr:row>2</xdr:row>
      <xdr:rowOff>103263</xdr:rowOff>
    </xdr:to>
    <xdr:sp macro="[0]!R0_06" textlink="">
      <xdr:nvSpPr>
        <xdr:cNvPr id="4" name="Rectangle à coins arrondis 3"/>
        <xdr:cNvSpPr/>
      </xdr:nvSpPr>
      <xdr:spPr>
        <a:xfrm>
          <a:off x="10391774" y="533401"/>
          <a:ext cx="1108982" cy="389012"/>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algn="ctr"/>
          <a:r>
            <a:rPr lang="fr-FR" sz="1800" b="1"/>
            <a:t>Clear</a:t>
          </a:r>
        </a:p>
      </xdr:txBody>
    </xdr:sp>
    <xdr:clientData/>
  </xdr:twoCellAnchor>
</xdr:wsDr>
</file>

<file path=xl/drawings/drawing10.xml><?xml version="1.0" encoding="utf-8"?>
<xdr:wsDr xmlns:xdr="http://schemas.openxmlformats.org/drawingml/2006/spreadsheetDrawing" xmlns:a="http://schemas.openxmlformats.org/drawingml/2006/main">
  <xdr:twoCellAnchor editAs="oneCell">
    <xdr:from>
      <xdr:col>30</xdr:col>
      <xdr:colOff>222744</xdr:colOff>
      <xdr:row>0</xdr:row>
      <xdr:rowOff>19050</xdr:rowOff>
    </xdr:from>
    <xdr:to>
      <xdr:col>32</xdr:col>
      <xdr:colOff>156481</xdr:colOff>
      <xdr:row>0</xdr:row>
      <xdr:rowOff>533400</xdr:rowOff>
    </xdr:to>
    <xdr:pic macro="[0]!Accueil">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919319" y="19050"/>
          <a:ext cx="562387" cy="514350"/>
        </a:xfrm>
        <a:prstGeom prst="rect">
          <a:avLst/>
        </a:prstGeom>
      </xdr:spPr>
    </xdr:pic>
    <xdr:clientData/>
  </xdr:twoCellAnchor>
  <xdr:twoCellAnchor editAs="oneCell">
    <xdr:from>
      <xdr:col>29</xdr:col>
      <xdr:colOff>0</xdr:colOff>
      <xdr:row>0</xdr:row>
      <xdr:rowOff>0</xdr:rowOff>
    </xdr:from>
    <xdr:to>
      <xdr:col>30</xdr:col>
      <xdr:colOff>166461</xdr:colOff>
      <xdr:row>0</xdr:row>
      <xdr:rowOff>491335</xdr:rowOff>
    </xdr:to>
    <xdr:pic macro="[0]!enregistrer">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382250" y="0"/>
          <a:ext cx="480786" cy="491335"/>
        </a:xfrm>
        <a:prstGeom prst="rect">
          <a:avLst/>
        </a:prstGeom>
      </xdr:spPr>
    </xdr:pic>
    <xdr:clientData/>
  </xdr:twoCellAnchor>
  <xdr:twoCellAnchor>
    <xdr:from>
      <xdr:col>29</xdr:col>
      <xdr:colOff>9524</xdr:colOff>
      <xdr:row>0</xdr:row>
      <xdr:rowOff>533401</xdr:rowOff>
    </xdr:from>
    <xdr:to>
      <xdr:col>32</xdr:col>
      <xdr:colOff>175531</xdr:colOff>
      <xdr:row>2</xdr:row>
      <xdr:rowOff>103263</xdr:rowOff>
    </xdr:to>
    <xdr:sp macro="[0]!R0_07" textlink="">
      <xdr:nvSpPr>
        <xdr:cNvPr id="4" name="Rectangle à coins arrondis 3"/>
        <xdr:cNvSpPr/>
      </xdr:nvSpPr>
      <xdr:spPr>
        <a:xfrm>
          <a:off x="10391774" y="533401"/>
          <a:ext cx="1108982" cy="389012"/>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algn="ctr"/>
          <a:r>
            <a:rPr lang="fr-FR" sz="1800" b="1"/>
            <a:t>Clear</a:t>
          </a:r>
        </a:p>
      </xdr:txBody>
    </xdr:sp>
    <xdr:clientData/>
  </xdr:twoCellAnchor>
</xdr:wsDr>
</file>

<file path=xl/drawings/drawing11.xml><?xml version="1.0" encoding="utf-8"?>
<xdr:wsDr xmlns:xdr="http://schemas.openxmlformats.org/drawingml/2006/spreadsheetDrawing" xmlns:a="http://schemas.openxmlformats.org/drawingml/2006/main">
  <xdr:twoCellAnchor editAs="oneCell">
    <xdr:from>
      <xdr:col>30</xdr:col>
      <xdr:colOff>222744</xdr:colOff>
      <xdr:row>0</xdr:row>
      <xdr:rowOff>19050</xdr:rowOff>
    </xdr:from>
    <xdr:to>
      <xdr:col>32</xdr:col>
      <xdr:colOff>156481</xdr:colOff>
      <xdr:row>0</xdr:row>
      <xdr:rowOff>533400</xdr:rowOff>
    </xdr:to>
    <xdr:pic macro="[0]!Accueil">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919319" y="19050"/>
          <a:ext cx="562387" cy="514350"/>
        </a:xfrm>
        <a:prstGeom prst="rect">
          <a:avLst/>
        </a:prstGeom>
      </xdr:spPr>
    </xdr:pic>
    <xdr:clientData/>
  </xdr:twoCellAnchor>
  <xdr:twoCellAnchor editAs="oneCell">
    <xdr:from>
      <xdr:col>29</xdr:col>
      <xdr:colOff>0</xdr:colOff>
      <xdr:row>0</xdr:row>
      <xdr:rowOff>0</xdr:rowOff>
    </xdr:from>
    <xdr:to>
      <xdr:col>30</xdr:col>
      <xdr:colOff>166461</xdr:colOff>
      <xdr:row>0</xdr:row>
      <xdr:rowOff>491335</xdr:rowOff>
    </xdr:to>
    <xdr:pic macro="[0]!enregistrer">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382250" y="0"/>
          <a:ext cx="480786" cy="491335"/>
        </a:xfrm>
        <a:prstGeom prst="rect">
          <a:avLst/>
        </a:prstGeom>
      </xdr:spPr>
    </xdr:pic>
    <xdr:clientData/>
  </xdr:twoCellAnchor>
  <xdr:twoCellAnchor>
    <xdr:from>
      <xdr:col>29</xdr:col>
      <xdr:colOff>9524</xdr:colOff>
      <xdr:row>0</xdr:row>
      <xdr:rowOff>533401</xdr:rowOff>
    </xdr:from>
    <xdr:to>
      <xdr:col>32</xdr:col>
      <xdr:colOff>175531</xdr:colOff>
      <xdr:row>2</xdr:row>
      <xdr:rowOff>103263</xdr:rowOff>
    </xdr:to>
    <xdr:sp macro="[0]!R0_08" textlink="">
      <xdr:nvSpPr>
        <xdr:cNvPr id="4" name="Rectangle à coins arrondis 3"/>
        <xdr:cNvSpPr/>
      </xdr:nvSpPr>
      <xdr:spPr>
        <a:xfrm>
          <a:off x="10391774" y="533401"/>
          <a:ext cx="1108982" cy="389012"/>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algn="ctr"/>
          <a:r>
            <a:rPr lang="fr-FR" sz="1800" b="1"/>
            <a:t>Clear</a:t>
          </a:r>
        </a:p>
      </xdr:txBody>
    </xdr:sp>
    <xdr:clientData/>
  </xdr:twoCellAnchor>
</xdr:wsDr>
</file>

<file path=xl/drawings/drawing12.xml><?xml version="1.0" encoding="utf-8"?>
<xdr:wsDr xmlns:xdr="http://schemas.openxmlformats.org/drawingml/2006/spreadsheetDrawing" xmlns:a="http://schemas.openxmlformats.org/drawingml/2006/main">
  <xdr:twoCellAnchor editAs="oneCell">
    <xdr:from>
      <xdr:col>30</xdr:col>
      <xdr:colOff>222744</xdr:colOff>
      <xdr:row>0</xdr:row>
      <xdr:rowOff>19050</xdr:rowOff>
    </xdr:from>
    <xdr:to>
      <xdr:col>32</xdr:col>
      <xdr:colOff>156481</xdr:colOff>
      <xdr:row>0</xdr:row>
      <xdr:rowOff>533400</xdr:rowOff>
    </xdr:to>
    <xdr:pic macro="[0]!Accueil">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919319" y="19050"/>
          <a:ext cx="562387" cy="514350"/>
        </a:xfrm>
        <a:prstGeom prst="rect">
          <a:avLst/>
        </a:prstGeom>
      </xdr:spPr>
    </xdr:pic>
    <xdr:clientData/>
  </xdr:twoCellAnchor>
  <xdr:twoCellAnchor editAs="oneCell">
    <xdr:from>
      <xdr:col>29</xdr:col>
      <xdr:colOff>0</xdr:colOff>
      <xdr:row>0</xdr:row>
      <xdr:rowOff>0</xdr:rowOff>
    </xdr:from>
    <xdr:to>
      <xdr:col>30</xdr:col>
      <xdr:colOff>166461</xdr:colOff>
      <xdr:row>0</xdr:row>
      <xdr:rowOff>491335</xdr:rowOff>
    </xdr:to>
    <xdr:pic macro="[0]!enregistrer">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382250" y="0"/>
          <a:ext cx="480786" cy="491335"/>
        </a:xfrm>
        <a:prstGeom prst="rect">
          <a:avLst/>
        </a:prstGeom>
      </xdr:spPr>
    </xdr:pic>
    <xdr:clientData/>
  </xdr:twoCellAnchor>
  <xdr:twoCellAnchor>
    <xdr:from>
      <xdr:col>29</xdr:col>
      <xdr:colOff>9524</xdr:colOff>
      <xdr:row>0</xdr:row>
      <xdr:rowOff>533401</xdr:rowOff>
    </xdr:from>
    <xdr:to>
      <xdr:col>32</xdr:col>
      <xdr:colOff>175531</xdr:colOff>
      <xdr:row>2</xdr:row>
      <xdr:rowOff>103263</xdr:rowOff>
    </xdr:to>
    <xdr:sp macro="[0]!R0_09" textlink="">
      <xdr:nvSpPr>
        <xdr:cNvPr id="4" name="Rectangle à coins arrondis 3"/>
        <xdr:cNvSpPr/>
      </xdr:nvSpPr>
      <xdr:spPr>
        <a:xfrm>
          <a:off x="10391774" y="533401"/>
          <a:ext cx="1108982" cy="389012"/>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algn="ctr"/>
          <a:r>
            <a:rPr lang="fr-FR" sz="1800" b="1"/>
            <a:t>Clear</a:t>
          </a:r>
        </a:p>
      </xdr:txBody>
    </xdr:sp>
    <xdr:clientData/>
  </xdr:twoCellAnchor>
</xdr:wsDr>
</file>

<file path=xl/drawings/drawing13.xml><?xml version="1.0" encoding="utf-8"?>
<xdr:wsDr xmlns:xdr="http://schemas.openxmlformats.org/drawingml/2006/spreadsheetDrawing" xmlns:a="http://schemas.openxmlformats.org/drawingml/2006/main">
  <xdr:twoCellAnchor editAs="oneCell">
    <xdr:from>
      <xdr:col>31</xdr:col>
      <xdr:colOff>222744</xdr:colOff>
      <xdr:row>0</xdr:row>
      <xdr:rowOff>19050</xdr:rowOff>
    </xdr:from>
    <xdr:to>
      <xdr:col>33</xdr:col>
      <xdr:colOff>156481</xdr:colOff>
      <xdr:row>0</xdr:row>
      <xdr:rowOff>533400</xdr:rowOff>
    </xdr:to>
    <xdr:pic macro="[0]!Accueil">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233644" y="19050"/>
          <a:ext cx="562387" cy="514350"/>
        </a:xfrm>
        <a:prstGeom prst="rect">
          <a:avLst/>
        </a:prstGeom>
      </xdr:spPr>
    </xdr:pic>
    <xdr:clientData/>
  </xdr:twoCellAnchor>
  <xdr:twoCellAnchor editAs="oneCell">
    <xdr:from>
      <xdr:col>30</xdr:col>
      <xdr:colOff>0</xdr:colOff>
      <xdr:row>0</xdr:row>
      <xdr:rowOff>0</xdr:rowOff>
    </xdr:from>
    <xdr:to>
      <xdr:col>31</xdr:col>
      <xdr:colOff>166461</xdr:colOff>
      <xdr:row>0</xdr:row>
      <xdr:rowOff>491335</xdr:rowOff>
    </xdr:to>
    <xdr:pic macro="[0]!enregistrer">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696575" y="0"/>
          <a:ext cx="480786" cy="491335"/>
        </a:xfrm>
        <a:prstGeom prst="rect">
          <a:avLst/>
        </a:prstGeom>
      </xdr:spPr>
    </xdr:pic>
    <xdr:clientData/>
  </xdr:twoCellAnchor>
  <xdr:twoCellAnchor>
    <xdr:from>
      <xdr:col>30</xdr:col>
      <xdr:colOff>9524</xdr:colOff>
      <xdr:row>0</xdr:row>
      <xdr:rowOff>533401</xdr:rowOff>
    </xdr:from>
    <xdr:to>
      <xdr:col>33</xdr:col>
      <xdr:colOff>175531</xdr:colOff>
      <xdr:row>2</xdr:row>
      <xdr:rowOff>103263</xdr:rowOff>
    </xdr:to>
    <xdr:sp macro="[0]!R0_10" textlink="">
      <xdr:nvSpPr>
        <xdr:cNvPr id="4" name="Rectangle à coins arrondis 3"/>
        <xdr:cNvSpPr/>
      </xdr:nvSpPr>
      <xdr:spPr>
        <a:xfrm>
          <a:off x="10706099" y="533401"/>
          <a:ext cx="1108982" cy="389012"/>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algn="ctr"/>
          <a:r>
            <a:rPr lang="fr-FR" sz="1800" b="1"/>
            <a:t>Clear</a:t>
          </a:r>
        </a:p>
      </xdr:txBody>
    </xdr:sp>
    <xdr:clientData/>
  </xdr:twoCellAnchor>
</xdr:wsDr>
</file>

<file path=xl/drawings/drawing14.xml><?xml version="1.0" encoding="utf-8"?>
<xdr:wsDr xmlns:xdr="http://schemas.openxmlformats.org/drawingml/2006/spreadsheetDrawing" xmlns:a="http://schemas.openxmlformats.org/drawingml/2006/main">
  <xdr:twoCellAnchor editAs="oneCell">
    <xdr:from>
      <xdr:col>30</xdr:col>
      <xdr:colOff>222744</xdr:colOff>
      <xdr:row>0</xdr:row>
      <xdr:rowOff>19050</xdr:rowOff>
    </xdr:from>
    <xdr:to>
      <xdr:col>32</xdr:col>
      <xdr:colOff>156481</xdr:colOff>
      <xdr:row>0</xdr:row>
      <xdr:rowOff>533400</xdr:rowOff>
    </xdr:to>
    <xdr:pic macro="[0]!Accueil">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919319" y="19050"/>
          <a:ext cx="562387" cy="514350"/>
        </a:xfrm>
        <a:prstGeom prst="rect">
          <a:avLst/>
        </a:prstGeom>
      </xdr:spPr>
    </xdr:pic>
    <xdr:clientData/>
  </xdr:twoCellAnchor>
  <xdr:twoCellAnchor editAs="oneCell">
    <xdr:from>
      <xdr:col>29</xdr:col>
      <xdr:colOff>0</xdr:colOff>
      <xdr:row>0</xdr:row>
      <xdr:rowOff>0</xdr:rowOff>
    </xdr:from>
    <xdr:to>
      <xdr:col>30</xdr:col>
      <xdr:colOff>166461</xdr:colOff>
      <xdr:row>0</xdr:row>
      <xdr:rowOff>491335</xdr:rowOff>
    </xdr:to>
    <xdr:pic macro="[0]!enregistrer">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382250" y="0"/>
          <a:ext cx="480786" cy="491335"/>
        </a:xfrm>
        <a:prstGeom prst="rect">
          <a:avLst/>
        </a:prstGeom>
      </xdr:spPr>
    </xdr:pic>
    <xdr:clientData/>
  </xdr:twoCellAnchor>
  <xdr:twoCellAnchor>
    <xdr:from>
      <xdr:col>29</xdr:col>
      <xdr:colOff>9524</xdr:colOff>
      <xdr:row>0</xdr:row>
      <xdr:rowOff>533401</xdr:rowOff>
    </xdr:from>
    <xdr:to>
      <xdr:col>32</xdr:col>
      <xdr:colOff>175531</xdr:colOff>
      <xdr:row>2</xdr:row>
      <xdr:rowOff>103263</xdr:rowOff>
    </xdr:to>
    <xdr:sp macro="[0]!R0_11" textlink="">
      <xdr:nvSpPr>
        <xdr:cNvPr id="4" name="Rectangle à coins arrondis 3"/>
        <xdr:cNvSpPr/>
      </xdr:nvSpPr>
      <xdr:spPr>
        <a:xfrm>
          <a:off x="10391774" y="533401"/>
          <a:ext cx="1108982" cy="389012"/>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algn="ctr"/>
          <a:r>
            <a:rPr lang="fr-FR" sz="1800" b="1"/>
            <a:t>Clear</a:t>
          </a:r>
        </a:p>
      </xdr:txBody>
    </xdr:sp>
    <xdr:clientData/>
  </xdr:twoCellAnchor>
</xdr:wsDr>
</file>

<file path=xl/drawings/drawing15.xml><?xml version="1.0" encoding="utf-8"?>
<xdr:wsDr xmlns:xdr="http://schemas.openxmlformats.org/drawingml/2006/spreadsheetDrawing" xmlns:a="http://schemas.openxmlformats.org/drawingml/2006/main">
  <xdr:twoCellAnchor editAs="oneCell">
    <xdr:from>
      <xdr:col>31</xdr:col>
      <xdr:colOff>222744</xdr:colOff>
      <xdr:row>0</xdr:row>
      <xdr:rowOff>19050</xdr:rowOff>
    </xdr:from>
    <xdr:to>
      <xdr:col>33</xdr:col>
      <xdr:colOff>156481</xdr:colOff>
      <xdr:row>0</xdr:row>
      <xdr:rowOff>533400</xdr:rowOff>
    </xdr:to>
    <xdr:pic macro="[0]!Accueil">
      <xdr:nvPicPr>
        <xdr:cNvPr id="2" name="Image 1">
          <a:extLst>
            <a:ext uri="{FF2B5EF4-FFF2-40B4-BE49-F238E27FC236}">
              <a16:creationId xmlns:a16="http://schemas.microsoft.com/office/drawing/2014/main" xmlns="" id="{00000000-0008-0000-06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233644" y="19050"/>
          <a:ext cx="562387" cy="514350"/>
        </a:xfrm>
        <a:prstGeom prst="rect">
          <a:avLst/>
        </a:prstGeom>
      </xdr:spPr>
    </xdr:pic>
    <xdr:clientData/>
  </xdr:twoCellAnchor>
  <xdr:twoCellAnchor editAs="oneCell">
    <xdr:from>
      <xdr:col>30</xdr:col>
      <xdr:colOff>0</xdr:colOff>
      <xdr:row>0</xdr:row>
      <xdr:rowOff>0</xdr:rowOff>
    </xdr:from>
    <xdr:to>
      <xdr:col>31</xdr:col>
      <xdr:colOff>166461</xdr:colOff>
      <xdr:row>0</xdr:row>
      <xdr:rowOff>491335</xdr:rowOff>
    </xdr:to>
    <xdr:pic macro="[0]!enregistrer">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696575" y="0"/>
          <a:ext cx="480786" cy="491335"/>
        </a:xfrm>
        <a:prstGeom prst="rect">
          <a:avLst/>
        </a:prstGeom>
      </xdr:spPr>
    </xdr:pic>
    <xdr:clientData/>
  </xdr:twoCellAnchor>
  <xdr:twoCellAnchor>
    <xdr:from>
      <xdr:col>30</xdr:col>
      <xdr:colOff>9524</xdr:colOff>
      <xdr:row>0</xdr:row>
      <xdr:rowOff>533401</xdr:rowOff>
    </xdr:from>
    <xdr:to>
      <xdr:col>33</xdr:col>
      <xdr:colOff>175531</xdr:colOff>
      <xdr:row>2</xdr:row>
      <xdr:rowOff>103263</xdr:rowOff>
    </xdr:to>
    <xdr:sp macro="[0]!R0_12" textlink="">
      <xdr:nvSpPr>
        <xdr:cNvPr id="4" name="Rectangle à coins arrondis 3"/>
        <xdr:cNvSpPr/>
      </xdr:nvSpPr>
      <xdr:spPr>
        <a:xfrm>
          <a:off x="10706099" y="533401"/>
          <a:ext cx="1108982" cy="389012"/>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algn="ctr"/>
          <a:r>
            <a:rPr lang="fr-FR" sz="1800" b="1"/>
            <a:t>Clear</a:t>
          </a:r>
        </a:p>
      </xdr:txBody>
    </xdr:sp>
    <xdr:clientData/>
  </xdr:twoCellAnchor>
</xdr:wsDr>
</file>

<file path=xl/tables/table1.xml><?xml version="1.0" encoding="utf-8"?>
<table xmlns="http://schemas.openxmlformats.org/spreadsheetml/2006/main" id="3" name="Janvier" displayName="Janvier" ref="B6:AH37" totalsRowCount="1" headerRowDxfId="906" dataDxfId="905" totalsRowDxfId="904">
  <autoFilter ref="B6:AH36">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name="Nom de l’employé" totalsRowFunction="custom" dataDxfId="903" totalsRowDxfId="902">
      <calculatedColumnFormula>Paramètre!$A15</calculatedColumnFormula>
      <totalsRowFormula>NomMois&amp;" Total"</totalsRowFormula>
    </tableColumn>
    <tableColumn id="2" name="1" totalsRowFunction="custom" dataDxfId="901" totalsRowDxfId="900" dataCellStyle="Total">
      <totalsRowFormula>SUBTOTAL(103,Janvier!$C$7:$C$36)</totalsRowFormula>
    </tableColumn>
    <tableColumn id="3" name="2" totalsRowFunction="custom" dataDxfId="899" totalsRowDxfId="898" dataCellStyle="Total">
      <totalsRowFormula>SUBTOTAL(103,Janvier!$D$7:$D$36)</totalsRowFormula>
    </tableColumn>
    <tableColumn id="4" name="3" totalsRowFunction="custom" dataDxfId="897" totalsRowDxfId="896" dataCellStyle="Total">
      <totalsRowFormula>SUBTOTAL(103,Janvier!$E$7:$E$36)</totalsRowFormula>
    </tableColumn>
    <tableColumn id="5" name="4" totalsRowFunction="custom" dataDxfId="895" totalsRowDxfId="894" dataCellStyle="Total">
      <totalsRowFormula>SUBTOTAL(103,Janvier!$F$7:$F$36)</totalsRowFormula>
    </tableColumn>
    <tableColumn id="6" name="5" totalsRowFunction="custom" dataDxfId="893" totalsRowDxfId="892" dataCellStyle="Total">
      <totalsRowFormula>SUBTOTAL(103,Janvier!$G$7:$G$36)</totalsRowFormula>
    </tableColumn>
    <tableColumn id="7" name="6" totalsRowFunction="custom" dataDxfId="891" totalsRowDxfId="890" dataCellStyle="Total">
      <totalsRowFormula>SUBTOTAL(103,Janvier!$H$7:$H$36)</totalsRowFormula>
    </tableColumn>
    <tableColumn id="8" name="7" totalsRowFunction="custom" dataDxfId="889" totalsRowDxfId="888" dataCellStyle="Total">
      <totalsRowFormula>SUBTOTAL(103,Janvier!$I$7:$I$36)</totalsRowFormula>
    </tableColumn>
    <tableColumn id="9" name="8" totalsRowFunction="custom" dataDxfId="887" totalsRowDxfId="886" dataCellStyle="Total">
      <totalsRowFormula>SUBTOTAL(103,Janvier!$J$7:$J$36)</totalsRowFormula>
    </tableColumn>
    <tableColumn id="10" name="9" totalsRowFunction="custom" dataDxfId="885" totalsRowDxfId="884" dataCellStyle="Total">
      <totalsRowFormula>SUBTOTAL(103,Janvier!$K$7:$K$36)</totalsRowFormula>
    </tableColumn>
    <tableColumn id="11" name="10" totalsRowFunction="custom" dataDxfId="883" totalsRowDxfId="882" dataCellStyle="Total">
      <totalsRowFormula>SUBTOTAL(103,Janvier!$L$7:$L$36)</totalsRowFormula>
    </tableColumn>
    <tableColumn id="12" name="11" totalsRowFunction="custom" dataDxfId="881" totalsRowDxfId="880" dataCellStyle="Total">
      <totalsRowFormula>SUBTOTAL(103,Janvier!$M$7:$M$36)</totalsRowFormula>
    </tableColumn>
    <tableColumn id="13" name="12" totalsRowFunction="custom" dataDxfId="879" totalsRowDxfId="878" dataCellStyle="Total">
      <totalsRowFormula>SUBTOTAL(103,Janvier!$N$7:$N$36)</totalsRowFormula>
    </tableColumn>
    <tableColumn id="14" name="13" totalsRowFunction="custom" dataDxfId="877" totalsRowDxfId="876" dataCellStyle="Total">
      <totalsRowFormula>SUBTOTAL(103,Janvier!$O$7:$O$36)</totalsRowFormula>
    </tableColumn>
    <tableColumn id="15" name="14" totalsRowFunction="custom" dataDxfId="875" totalsRowDxfId="874" dataCellStyle="Total">
      <totalsRowFormula>SUBTOTAL(103,Janvier!$P$7:$P$36)</totalsRowFormula>
    </tableColumn>
    <tableColumn id="16" name="15" totalsRowFunction="custom" dataDxfId="873" totalsRowDxfId="872" dataCellStyle="Total">
      <totalsRowFormula>SUBTOTAL(103,Janvier!$Q$7:$Q$36)</totalsRowFormula>
    </tableColumn>
    <tableColumn id="17" name="16" totalsRowFunction="custom" dataDxfId="871" totalsRowDxfId="870" dataCellStyle="Total">
      <totalsRowFormula>SUBTOTAL(103,Janvier!$R$7:$R$36)</totalsRowFormula>
    </tableColumn>
    <tableColumn id="18" name="17" totalsRowFunction="custom" dataDxfId="869" totalsRowDxfId="868" dataCellStyle="Total">
      <totalsRowFormula>SUBTOTAL(103,Janvier!$S$7:$S$36)</totalsRowFormula>
    </tableColumn>
    <tableColumn id="19" name="18" totalsRowFunction="custom" dataDxfId="867" totalsRowDxfId="866" dataCellStyle="Total">
      <totalsRowFormula>SUBTOTAL(103,Janvier!$T$7:$T$36)</totalsRowFormula>
    </tableColumn>
    <tableColumn id="20" name="19" totalsRowFunction="custom" dataDxfId="865" totalsRowDxfId="864" dataCellStyle="Total">
      <totalsRowFormula>SUBTOTAL(103,Janvier!$U$7:$U$36)</totalsRowFormula>
    </tableColumn>
    <tableColumn id="21" name="20" totalsRowFunction="custom" dataDxfId="863" totalsRowDxfId="862" dataCellStyle="Total">
      <totalsRowFormula>SUBTOTAL(103,Janvier!$V$7:$V$36)</totalsRowFormula>
    </tableColumn>
    <tableColumn id="22" name="21" totalsRowFunction="custom" dataDxfId="861" totalsRowDxfId="860" dataCellStyle="Total">
      <totalsRowFormula>SUBTOTAL(103,Janvier!$W$7:$W$36)</totalsRowFormula>
    </tableColumn>
    <tableColumn id="23" name="22" totalsRowFunction="custom" dataDxfId="859" totalsRowDxfId="858" dataCellStyle="Total">
      <totalsRowFormula>SUBTOTAL(103,Janvier!$X$7:$X$36)</totalsRowFormula>
    </tableColumn>
    <tableColumn id="24" name="23" totalsRowFunction="custom" dataDxfId="857" totalsRowDxfId="856" dataCellStyle="Total">
      <totalsRowFormula>SUBTOTAL(103,Janvier!$Y$7:$Y$36)</totalsRowFormula>
    </tableColumn>
    <tableColumn id="25" name="24" totalsRowFunction="custom" dataDxfId="855" totalsRowDxfId="854" dataCellStyle="Total">
      <totalsRowFormula>SUBTOTAL(103,Janvier!$Z$7:$Z$36)</totalsRowFormula>
    </tableColumn>
    <tableColumn id="26" name="25" totalsRowFunction="custom" dataDxfId="853" totalsRowDxfId="852" dataCellStyle="Total">
      <totalsRowFormula>SUBTOTAL(103,Janvier!$AA$7:$AA$36)</totalsRowFormula>
    </tableColumn>
    <tableColumn id="27" name="26" totalsRowFunction="custom" dataDxfId="851" totalsRowDxfId="850" dataCellStyle="Total">
      <totalsRowFormula>SUBTOTAL(103,Janvier!$AB$7:$AB$36)</totalsRowFormula>
    </tableColumn>
    <tableColumn id="28" name="27" totalsRowFunction="custom" dataDxfId="849" totalsRowDxfId="848" dataCellStyle="Total">
      <totalsRowFormula>SUBTOTAL(103,Janvier!$AC$7:$AC$36)</totalsRowFormula>
    </tableColumn>
    <tableColumn id="29" name="28" totalsRowFunction="custom" dataDxfId="847" totalsRowDxfId="846" dataCellStyle="Total">
      <totalsRowFormula>SUBTOTAL(103,Janvier!$AD$7:$AD$36)</totalsRowFormula>
    </tableColumn>
    <tableColumn id="30" name="29" totalsRowFunction="custom" dataDxfId="845" totalsRowDxfId="844" dataCellStyle="Total">
      <totalsRowFormula>SUBTOTAL(103,Janvier!$AE$7:$AE$36)</totalsRowFormula>
    </tableColumn>
    <tableColumn id="31" name="30" totalsRowFunction="custom" dataDxfId="843" totalsRowDxfId="842" dataCellStyle="Total">
      <totalsRowFormula>SUBTOTAL(103,Janvier!$AF$7:$AF$36)</totalsRowFormula>
    </tableColumn>
    <tableColumn id="32" name="31" totalsRowFunction="custom" dataDxfId="841" totalsRowDxfId="840" dataCellStyle="Total">
      <totalsRowFormula>SUBTOTAL(103,Janvier!$AG$7:$AG$36)</totalsRowFormula>
    </tableColumn>
    <tableColumn id="33" name="Total des jours" totalsRowFunction="sum" dataDxfId="839" totalsRowDxfId="838" dataCellStyle="Total">
      <calculatedColumnFormula>COUNTA(Janvier!$C7:$AG7)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B6:AH37" totalsRowCount="1" headerRowDxfId="828" dataDxfId="827" totalsRowDxfId="826">
  <tableColumns count="33">
    <tableColumn id="1" name="Nom de l’employé" totalsRowFunction="custom" dataDxfId="825" totalsRowDxfId="824">
      <calculatedColumnFormula>Paramètre!$A15</calculatedColumnFormula>
      <totalsRowFormula>NomMois&amp;" Total"</totalsRowFormula>
    </tableColumn>
    <tableColumn id="2" name="1" totalsRowFunction="count" dataDxfId="823" totalsRowDxfId="822" dataCellStyle="Total"/>
    <tableColumn id="3" name="2" totalsRowFunction="count" dataDxfId="821" totalsRowDxfId="820" dataCellStyle="Total"/>
    <tableColumn id="4" name="3" totalsRowFunction="count" dataDxfId="819" totalsRowDxfId="818" dataCellStyle="Total"/>
    <tableColumn id="5" name="4" totalsRowFunction="count" dataDxfId="817" totalsRowDxfId="816" dataCellStyle="Total"/>
    <tableColumn id="6" name="5" totalsRowFunction="count" dataDxfId="815" totalsRowDxfId="814" dataCellStyle="Total"/>
    <tableColumn id="7" name="6" totalsRowFunction="count" dataDxfId="813" totalsRowDxfId="812" dataCellStyle="Total"/>
    <tableColumn id="8" name="7" totalsRowFunction="count" dataDxfId="811" totalsRowDxfId="810" dataCellStyle="Total"/>
    <tableColumn id="9" name="8" totalsRowFunction="count" dataDxfId="809" totalsRowDxfId="808" dataCellStyle="Total"/>
    <tableColumn id="10" name="9" totalsRowFunction="count" dataDxfId="807" totalsRowDxfId="806" dataCellStyle="Total"/>
    <tableColumn id="11" name="10" totalsRowFunction="count" dataDxfId="805" totalsRowDxfId="804" dataCellStyle="Total"/>
    <tableColumn id="12" name="11" totalsRowFunction="count" dataDxfId="803" totalsRowDxfId="802" dataCellStyle="Total"/>
    <tableColumn id="13" name="12" totalsRowFunction="count" dataDxfId="801" totalsRowDxfId="800" dataCellStyle="Total"/>
    <tableColumn id="14" name="13" totalsRowFunction="count" dataDxfId="799" totalsRowDxfId="798" dataCellStyle="Total"/>
    <tableColumn id="15" name="14" totalsRowFunction="count" dataDxfId="797" totalsRowDxfId="796" dataCellStyle="Total"/>
    <tableColumn id="16" name="15" totalsRowFunction="count" dataDxfId="795" totalsRowDxfId="794" dataCellStyle="Total"/>
    <tableColumn id="17" name="16" totalsRowFunction="count" dataDxfId="793" totalsRowDxfId="792" dataCellStyle="Total"/>
    <tableColumn id="18" name="17" totalsRowFunction="count" dataDxfId="791" totalsRowDxfId="790" dataCellStyle="Total"/>
    <tableColumn id="19" name="18" totalsRowFunction="count" dataDxfId="789" totalsRowDxfId="788" dataCellStyle="Total"/>
    <tableColumn id="20" name="19" totalsRowFunction="count" dataDxfId="787" totalsRowDxfId="786" dataCellStyle="Total"/>
    <tableColumn id="21" name="20" totalsRowFunction="count" dataDxfId="785" totalsRowDxfId="784" dataCellStyle="Total"/>
    <tableColumn id="22" name="21" totalsRowFunction="count" dataDxfId="783" totalsRowDxfId="782" dataCellStyle="Total"/>
    <tableColumn id="23" name="22" totalsRowFunction="count" dataDxfId="781" totalsRowDxfId="780" dataCellStyle="Total"/>
    <tableColumn id="24" name="23" totalsRowFunction="count" dataDxfId="779" totalsRowDxfId="778" dataCellStyle="Total"/>
    <tableColumn id="25" name="24" totalsRowFunction="count" dataDxfId="777" totalsRowDxfId="776" dataCellStyle="Total"/>
    <tableColumn id="26" name="25" totalsRowFunction="count" dataDxfId="775" totalsRowDxfId="774" dataCellStyle="Total"/>
    <tableColumn id="27" name="26" totalsRowFunction="count" dataDxfId="773" totalsRowDxfId="772" dataCellStyle="Total"/>
    <tableColumn id="28" name="27" totalsRowFunction="count" dataDxfId="771" totalsRowDxfId="770" dataCellStyle="Total"/>
    <tableColumn id="29" name="28" totalsRowFunction="count" dataDxfId="769" totalsRowDxfId="768" dataCellStyle="Total"/>
    <tableColumn id="30" name="29" totalsRowFunction="count" dataDxfId="767" totalsRowDxfId="766" dataCellStyle="Total"/>
    <tableColumn id="31" name=" " dataDxfId="765" totalsRowDxfId="764" dataCellStyle="Total"/>
    <tableColumn id="32" name="  " dataDxfId="763" totalsRowDxfId="762" dataCellStyle="Total"/>
    <tableColumn id="33" name="Total des jours" totalsRowFunction="sum" dataDxfId="761" totalsRowDxfId="760" dataCellStyle="Total">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4" name="Mars" displayName="Mars" ref="B6:AH37" totalsRowCount="1" headerRowDxfId="752" dataDxfId="751" totalsRowDxfId="750">
  <tableColumns count="33">
    <tableColumn id="1" name="Nom de l’employé" totalsRowFunction="custom" dataDxfId="749" totalsRowDxfId="748">
      <calculatedColumnFormula>Paramètre!$A15</calculatedColumnFormula>
      <totalsRowFormula>NomMois&amp;" Total"</totalsRowFormula>
    </tableColumn>
    <tableColumn id="2" name="1" totalsRowFunction="count" dataDxfId="747" totalsRowDxfId="746"/>
    <tableColumn id="3" name="2" totalsRowFunction="count" dataDxfId="745" totalsRowDxfId="744"/>
    <tableColumn id="4" name="3" totalsRowFunction="count" dataDxfId="743" totalsRowDxfId="742"/>
    <tableColumn id="5" name="4" totalsRowFunction="count" dataDxfId="741" totalsRowDxfId="740"/>
    <tableColumn id="6" name="5" totalsRowFunction="count" dataDxfId="739" totalsRowDxfId="738"/>
    <tableColumn id="7" name="6" totalsRowFunction="count" dataDxfId="737" totalsRowDxfId="736"/>
    <tableColumn id="8" name="7" totalsRowFunction="count" dataDxfId="735" totalsRowDxfId="734"/>
    <tableColumn id="9" name="8" totalsRowFunction="count" dataDxfId="733" totalsRowDxfId="732"/>
    <tableColumn id="10" name="9" totalsRowFunction="count" dataDxfId="731" totalsRowDxfId="730"/>
    <tableColumn id="11" name="10" totalsRowFunction="count" dataDxfId="729" totalsRowDxfId="728"/>
    <tableColumn id="12" name="11" totalsRowFunction="count" dataDxfId="727" totalsRowDxfId="726"/>
    <tableColumn id="13" name="12" totalsRowFunction="count" dataDxfId="725" totalsRowDxfId="724"/>
    <tableColumn id="14" name="13" totalsRowFunction="count" dataDxfId="723" totalsRowDxfId="722"/>
    <tableColumn id="15" name="14" totalsRowFunction="count" dataDxfId="721" totalsRowDxfId="720"/>
    <tableColumn id="16" name="15" totalsRowFunction="count" dataDxfId="719" totalsRowDxfId="718"/>
    <tableColumn id="17" name="16" totalsRowFunction="count" dataDxfId="717" totalsRowDxfId="716"/>
    <tableColumn id="18" name="17" totalsRowFunction="count" dataDxfId="715" totalsRowDxfId="714"/>
    <tableColumn id="19" name="18" totalsRowFunction="count" dataDxfId="713" totalsRowDxfId="712"/>
    <tableColumn id="20" name="19" totalsRowFunction="count" dataDxfId="711" totalsRowDxfId="710"/>
    <tableColumn id="21" name="20" totalsRowFunction="count" dataDxfId="709" totalsRowDxfId="708"/>
    <tableColumn id="22" name="21" totalsRowFunction="count" dataDxfId="707" totalsRowDxfId="706"/>
    <tableColumn id="23" name="22" totalsRowFunction="count" dataDxfId="705" totalsRowDxfId="704"/>
    <tableColumn id="24" name="23" totalsRowFunction="count" dataDxfId="703" totalsRowDxfId="702"/>
    <tableColumn id="25" name="24" totalsRowFunction="count" dataDxfId="701" totalsRowDxfId="700"/>
    <tableColumn id="26" name="25" totalsRowFunction="count" dataDxfId="699" totalsRowDxfId="698"/>
    <tableColumn id="27" name="26" totalsRowFunction="count" dataDxfId="697" totalsRowDxfId="696"/>
    <tableColumn id="28" name="27" totalsRowFunction="count" dataDxfId="695" totalsRowDxfId="694"/>
    <tableColumn id="29" name="28" totalsRowFunction="count" dataDxfId="693" totalsRowDxfId="692"/>
    <tableColumn id="30" name="29" totalsRowFunction="count" dataDxfId="691" totalsRowDxfId="690"/>
    <tableColumn id="31" name="30" totalsRowFunction="sum" dataDxfId="689" totalsRowDxfId="688"/>
    <tableColumn id="32" name="31" totalsRowFunction="sum" dataDxfId="687" totalsRowDxfId="686" dataCellStyle="Total"/>
    <tableColumn id="33" name="Total des jours" totalsRowFunction="sum" dataDxfId="685" totalsRowDxfId="684" dataCellStyle="Total">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5" name="Avril" displayName="Avril" ref="B6:AH37" totalsRowCount="1" headerRowDxfId="676" dataDxfId="675" totalsRowDxfId="674">
  <tableColumns count="33">
    <tableColumn id="1" name="Nom de l’employé" totalsRowFunction="custom" dataDxfId="673" totalsRowDxfId="672">
      <calculatedColumnFormula>Paramètre!$A15</calculatedColumnFormula>
      <totalsRowFormula>NomMois&amp;" Total"</totalsRowFormula>
    </tableColumn>
    <tableColumn id="2" name="1" totalsRowFunction="count" dataDxfId="671" totalsRowDxfId="670"/>
    <tableColumn id="3" name="2" totalsRowFunction="count" dataDxfId="669" totalsRowDxfId="668"/>
    <tableColumn id="4" name="3" totalsRowFunction="count" dataDxfId="667" totalsRowDxfId="666"/>
    <tableColumn id="5" name="4" totalsRowFunction="count" dataDxfId="665" totalsRowDxfId="664"/>
    <tableColumn id="6" name="5" totalsRowFunction="count" dataDxfId="663" totalsRowDxfId="662"/>
    <tableColumn id="7" name="6" totalsRowFunction="count" dataDxfId="661" totalsRowDxfId="660"/>
    <tableColumn id="8" name="7" totalsRowFunction="count" dataDxfId="659" totalsRowDxfId="658"/>
    <tableColumn id="9" name="8" totalsRowFunction="count" dataDxfId="657" totalsRowDxfId="656"/>
    <tableColumn id="10" name="9" totalsRowFunction="count" dataDxfId="655" totalsRowDxfId="654"/>
    <tableColumn id="11" name="10" totalsRowFunction="count" dataDxfId="653" totalsRowDxfId="652"/>
    <tableColumn id="12" name="11" totalsRowFunction="count" dataDxfId="651" totalsRowDxfId="650"/>
    <tableColumn id="13" name="12" totalsRowFunction="count" dataDxfId="649" totalsRowDxfId="648"/>
    <tableColumn id="14" name="13" totalsRowFunction="count" dataDxfId="647" totalsRowDxfId="646"/>
    <tableColumn id="15" name="14" totalsRowFunction="count" dataDxfId="645" totalsRowDxfId="644"/>
    <tableColumn id="16" name="15" totalsRowFunction="count" dataDxfId="643" totalsRowDxfId="642"/>
    <tableColumn id="17" name="16" totalsRowFunction="count" dataDxfId="641" totalsRowDxfId="640"/>
    <tableColumn id="18" name="17" totalsRowFunction="count" dataDxfId="639" totalsRowDxfId="638"/>
    <tableColumn id="19" name="18" totalsRowFunction="count" dataDxfId="637" totalsRowDxfId="636"/>
    <tableColumn id="20" name="19" totalsRowFunction="count" dataDxfId="635" totalsRowDxfId="634"/>
    <tableColumn id="21" name="20" totalsRowFunction="count" dataDxfId="633" totalsRowDxfId="632"/>
    <tableColumn id="22" name="21" totalsRowFunction="count" dataDxfId="631" totalsRowDxfId="630"/>
    <tableColumn id="23" name="22" totalsRowFunction="count" dataDxfId="629" totalsRowDxfId="628"/>
    <tableColumn id="24" name="23" totalsRowFunction="count" dataDxfId="627" totalsRowDxfId="626"/>
    <tableColumn id="25" name="24" totalsRowFunction="count" dataDxfId="625" totalsRowDxfId="624"/>
    <tableColumn id="26" name="25" totalsRowFunction="count" dataDxfId="623" totalsRowDxfId="622"/>
    <tableColumn id="27" name="26" totalsRowFunction="count" dataDxfId="621" totalsRowDxfId="620"/>
    <tableColumn id="28" name="27" totalsRowFunction="count" dataDxfId="619" totalsRowDxfId="618"/>
    <tableColumn id="29" name="28" totalsRowFunction="count" dataDxfId="617" totalsRowDxfId="616"/>
    <tableColumn id="30" name="29" totalsRowFunction="count" dataDxfId="615" totalsRowDxfId="614"/>
    <tableColumn id="31" name="30" totalsRowFunction="sum" dataDxfId="613" totalsRowDxfId="612"/>
    <tableColumn id="32" name="31" totalsRowFunction="sum" dataDxfId="611" totalsRowDxfId="610" dataCellStyle="Total"/>
    <tableColumn id="33" name="Total des jours" totalsRowFunction="sum" dataDxfId="609" totalsRowDxfId="608" dataCellStyle="Total">
      <calculatedColumnFormula>COUNTA(Avril[[#This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6" name="Mai" displayName="Mai" ref="B6:AH37" totalsRowCount="1" headerRowDxfId="600" dataDxfId="599" totalsRowDxfId="598">
  <tableColumns count="33">
    <tableColumn id="1" name="Nom de l’employé" totalsRowFunction="custom" dataDxfId="597" totalsRowDxfId="596">
      <calculatedColumnFormula>Paramètre!$A15</calculatedColumnFormula>
      <totalsRowFormula>NomMois&amp;" Total"</totalsRowFormula>
    </tableColumn>
    <tableColumn id="2" name="1" totalsRowFunction="count" dataDxfId="595" totalsRowDxfId="594"/>
    <tableColumn id="3" name="2" totalsRowFunction="count" dataDxfId="593" totalsRowDxfId="592"/>
    <tableColumn id="4" name="3" totalsRowFunction="count" dataDxfId="591" totalsRowDxfId="590"/>
    <tableColumn id="5" name="4" totalsRowFunction="count" dataDxfId="589" totalsRowDxfId="588"/>
    <tableColumn id="6" name="5" totalsRowFunction="count" dataDxfId="587" totalsRowDxfId="586"/>
    <tableColumn id="7" name="6" totalsRowFunction="count" dataDxfId="585" totalsRowDxfId="584"/>
    <tableColumn id="8" name="7" totalsRowFunction="count" dataDxfId="583" totalsRowDxfId="582"/>
    <tableColumn id="9" name="8" totalsRowFunction="count" dataDxfId="581" totalsRowDxfId="580"/>
    <tableColumn id="10" name="9" totalsRowFunction="count" dataDxfId="579" totalsRowDxfId="578"/>
    <tableColumn id="11" name="10" totalsRowFunction="count" dataDxfId="577" totalsRowDxfId="576"/>
    <tableColumn id="12" name="11" totalsRowFunction="count" dataDxfId="575" totalsRowDxfId="574"/>
    <tableColumn id="13" name="12" totalsRowFunction="count" dataDxfId="573" totalsRowDxfId="572"/>
    <tableColumn id="14" name="13" totalsRowFunction="count" dataDxfId="571" totalsRowDxfId="570"/>
    <tableColumn id="15" name="14" totalsRowFunction="count" dataDxfId="569" totalsRowDxfId="568"/>
    <tableColumn id="16" name="15" totalsRowFunction="count" dataDxfId="567" totalsRowDxfId="566"/>
    <tableColumn id="17" name="16" totalsRowFunction="count" dataDxfId="565" totalsRowDxfId="564"/>
    <tableColumn id="18" name="17" totalsRowFunction="count" dataDxfId="563" totalsRowDxfId="562"/>
    <tableColumn id="19" name="18" totalsRowFunction="count" dataDxfId="561" totalsRowDxfId="560"/>
    <tableColumn id="20" name="19" totalsRowFunction="count" dataDxfId="559" totalsRowDxfId="558"/>
    <tableColumn id="21" name="20" totalsRowFunction="count" dataDxfId="557" totalsRowDxfId="556"/>
    <tableColumn id="22" name="21" totalsRowFunction="count" dataDxfId="555" totalsRowDxfId="554"/>
    <tableColumn id="23" name="22" totalsRowFunction="count" dataDxfId="553" totalsRowDxfId="552"/>
    <tableColumn id="24" name="23" totalsRowFunction="count" dataDxfId="551" totalsRowDxfId="550"/>
    <tableColumn id="25" name="24" totalsRowFunction="count" dataDxfId="549" totalsRowDxfId="548"/>
    <tableColumn id="26" name="25" totalsRowFunction="count" dataDxfId="547" totalsRowDxfId="546"/>
    <tableColumn id="27" name="26" totalsRowFunction="count" dataDxfId="545" totalsRowDxfId="544"/>
    <tableColumn id="28" name="27" totalsRowFunction="count" dataDxfId="543" totalsRowDxfId="542"/>
    <tableColumn id="29" name="28" totalsRowFunction="count" dataDxfId="541" totalsRowDxfId="540"/>
    <tableColumn id="30" name="29" totalsRowFunction="count" dataDxfId="539" totalsRowDxfId="538"/>
    <tableColumn id="31" name="30" totalsRowFunction="sum" dataDxfId="537" totalsRowDxfId="536"/>
    <tableColumn id="32" name="31" totalsRowFunction="sum" dataDxfId="535" totalsRowDxfId="534" dataCellStyle="Total"/>
    <tableColumn id="33" name="Total des jours" totalsRowFunction="sum" dataDxfId="533" totalsRowDxfId="532" dataCellStyle="Total">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7" name="Juin" displayName="Juin" ref="B6:AH37" totalsRowCount="1" headerRowDxfId="524" dataDxfId="523" totalsRowDxfId="522">
  <tableColumns count="33">
    <tableColumn id="1" name="Nom de l’employé" totalsRowFunction="custom" dataDxfId="521" totalsRowDxfId="520">
      <calculatedColumnFormula>Paramètre!$A15</calculatedColumnFormula>
      <totalsRowFormula>NomMois&amp;" Total"</totalsRowFormula>
    </tableColumn>
    <tableColumn id="2" name="1" totalsRowFunction="count" dataDxfId="519" totalsRowDxfId="518"/>
    <tableColumn id="3" name="2" totalsRowFunction="count" dataDxfId="517" totalsRowDxfId="516"/>
    <tableColumn id="4" name="3" totalsRowFunction="count" dataDxfId="515" totalsRowDxfId="514"/>
    <tableColumn id="5" name="4" totalsRowFunction="count" dataDxfId="513" totalsRowDxfId="512"/>
    <tableColumn id="6" name="5" totalsRowFunction="count" dataDxfId="511" totalsRowDxfId="510"/>
    <tableColumn id="7" name="6" totalsRowFunction="count" dataDxfId="509" totalsRowDxfId="508"/>
    <tableColumn id="8" name="7" totalsRowFunction="count" dataDxfId="507" totalsRowDxfId="506"/>
    <tableColumn id="9" name="8" totalsRowFunction="count" dataDxfId="505" totalsRowDxfId="504"/>
    <tableColumn id="10" name="9" totalsRowFunction="count" dataDxfId="503" totalsRowDxfId="502"/>
    <tableColumn id="11" name="10" totalsRowFunction="count" dataDxfId="501" totalsRowDxfId="500"/>
    <tableColumn id="12" name="11" totalsRowFunction="count" dataDxfId="499" totalsRowDxfId="498"/>
    <tableColumn id="13" name="12" totalsRowFunction="count" dataDxfId="497" totalsRowDxfId="496"/>
    <tableColumn id="14" name="13" totalsRowFunction="count" dataDxfId="495" totalsRowDxfId="494"/>
    <tableColumn id="15" name="14" totalsRowFunction="count" dataDxfId="493" totalsRowDxfId="492"/>
    <tableColumn id="16" name="15" totalsRowFunction="count" dataDxfId="491" totalsRowDxfId="490"/>
    <tableColumn id="17" name="16" totalsRowFunction="count" dataDxfId="489" totalsRowDxfId="488"/>
    <tableColumn id="18" name="17" totalsRowFunction="count" dataDxfId="487" totalsRowDxfId="486"/>
    <tableColumn id="19" name="18" totalsRowFunction="count" dataDxfId="485" totalsRowDxfId="484"/>
    <tableColumn id="20" name="19" totalsRowFunction="count" dataDxfId="483" totalsRowDxfId="482"/>
    <tableColumn id="21" name="20" totalsRowFunction="count" dataDxfId="481" totalsRowDxfId="480"/>
    <tableColumn id="22" name="21" totalsRowFunction="count" dataDxfId="479" totalsRowDxfId="478"/>
    <tableColumn id="23" name="22" totalsRowFunction="count" dataDxfId="477" totalsRowDxfId="476"/>
    <tableColumn id="24" name="23" totalsRowFunction="count" dataDxfId="475" totalsRowDxfId="474"/>
    <tableColumn id="25" name="24" totalsRowFunction="count" dataDxfId="473" totalsRowDxfId="472"/>
    <tableColumn id="26" name="25" totalsRowFunction="count" dataDxfId="471" totalsRowDxfId="470"/>
    <tableColumn id="27" name="26" totalsRowFunction="count" dataDxfId="469" totalsRowDxfId="468"/>
    <tableColumn id="28" name="27" totalsRowFunction="count" dataDxfId="467" totalsRowDxfId="466"/>
    <tableColumn id="29" name="28" totalsRowFunction="count" dataDxfId="465" totalsRowDxfId="464"/>
    <tableColumn id="30" name="29" totalsRowFunction="count" dataDxfId="463" totalsRowDxfId="462"/>
    <tableColumn id="31" name="30" totalsRowFunction="sum" dataDxfId="461" totalsRowDxfId="460"/>
    <tableColumn id="32" name="31" totalsRowFunction="sum" dataDxfId="459" totalsRowDxfId="458" dataCellStyle="Total"/>
    <tableColumn id="33" name="Total des jours" totalsRowFunction="sum" dataDxfId="457" totalsRowDxfId="456" dataCellStyle="Total">
      <calculatedColumnFormula>COUNTA(Juin[[#This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8" name="Juillet" displayName="Juillet" ref="B6:AH37" totalsRowCount="1" headerRowDxfId="448" dataDxfId="447" totalsRowDxfId="446">
  <tableColumns count="33">
    <tableColumn id="1" name="Nom de l’employé" totalsRowFunction="custom" dataDxfId="445" totalsRowDxfId="444">
      <calculatedColumnFormula>Paramètre!$A15</calculatedColumnFormula>
      <totalsRowFormula>NomMois&amp;" Total"</totalsRowFormula>
    </tableColumn>
    <tableColumn id="2" name="1" totalsRowFunction="count" dataDxfId="443" totalsRowDxfId="442"/>
    <tableColumn id="3" name="2" totalsRowFunction="count" dataDxfId="441" totalsRowDxfId="440"/>
    <tableColumn id="4" name="3" totalsRowFunction="count" dataDxfId="439" totalsRowDxfId="438"/>
    <tableColumn id="5" name="4" totalsRowFunction="count" dataDxfId="437" totalsRowDxfId="436"/>
    <tableColumn id="6" name="5" totalsRowFunction="count" dataDxfId="435" totalsRowDxfId="434"/>
    <tableColumn id="7" name="6" totalsRowFunction="count" dataDxfId="433" totalsRowDxfId="432"/>
    <tableColumn id="8" name="7" totalsRowFunction="count" dataDxfId="431" totalsRowDxfId="430"/>
    <tableColumn id="9" name="8" totalsRowFunction="count" dataDxfId="429" totalsRowDxfId="428"/>
    <tableColumn id="10" name="9" totalsRowFunction="count" dataDxfId="427" totalsRowDxfId="426"/>
    <tableColumn id="11" name="10" totalsRowFunction="count" dataDxfId="425" totalsRowDxfId="424"/>
    <tableColumn id="12" name="11" totalsRowFunction="count" dataDxfId="423" totalsRowDxfId="422"/>
    <tableColumn id="13" name="12" totalsRowFunction="count" dataDxfId="421" totalsRowDxfId="420"/>
    <tableColumn id="14" name="13" totalsRowFunction="count" dataDxfId="419" totalsRowDxfId="418"/>
    <tableColumn id="15" name="14" totalsRowFunction="count" dataDxfId="417" totalsRowDxfId="416"/>
    <tableColumn id="16" name="15" totalsRowFunction="count" dataDxfId="415" totalsRowDxfId="414"/>
    <tableColumn id="17" name="16" totalsRowFunction="count" dataDxfId="413" totalsRowDxfId="412"/>
    <tableColumn id="18" name="17" totalsRowFunction="count" dataDxfId="411" totalsRowDxfId="410"/>
    <tableColumn id="19" name="18" totalsRowFunction="count" dataDxfId="409" totalsRowDxfId="408"/>
    <tableColumn id="20" name="19" totalsRowFunction="count" dataDxfId="407" totalsRowDxfId="406"/>
    <tableColumn id="21" name="20" totalsRowFunction="count" dataDxfId="405" totalsRowDxfId="404"/>
    <tableColumn id="22" name="21" totalsRowFunction="count" dataDxfId="403" totalsRowDxfId="402"/>
    <tableColumn id="23" name="22" totalsRowFunction="count" dataDxfId="401" totalsRowDxfId="400"/>
    <tableColumn id="24" name="23" totalsRowFunction="count" dataDxfId="399" totalsRowDxfId="398"/>
    <tableColumn id="25" name="24" totalsRowFunction="count" dataDxfId="397" totalsRowDxfId="396"/>
    <tableColumn id="26" name="25" totalsRowFunction="count" dataDxfId="395" totalsRowDxfId="394"/>
    <tableColumn id="27" name="26" totalsRowFunction="count" dataDxfId="393" totalsRowDxfId="392"/>
    <tableColumn id="28" name="27" totalsRowFunction="count" dataDxfId="391" totalsRowDxfId="390"/>
    <tableColumn id="29" name="28" totalsRowFunction="count" dataDxfId="389" totalsRowDxfId="388"/>
    <tableColumn id="30" name="29" totalsRowFunction="count" dataDxfId="387" totalsRowDxfId="386"/>
    <tableColumn id="31" name="30" totalsRowFunction="sum" dataDxfId="385" totalsRowDxfId="384"/>
    <tableColumn id="32" name="31" totalsRowFunction="sum" dataDxfId="383" totalsRowDxfId="382" dataCellStyle="Total"/>
    <tableColumn id="33" name="Total des jours" totalsRowFunction="sum" dataDxfId="381" totalsRowDxfId="380" dataCellStyle="Total">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9" name="Août" displayName="Août" ref="B6:AH37" totalsRowCount="1" headerRowDxfId="372" dataDxfId="371" totalsRowDxfId="370">
  <tableColumns count="33">
    <tableColumn id="1" name="Nom de l’employé" totalsRowFunction="custom" dataDxfId="369" totalsRowDxfId="368">
      <calculatedColumnFormula>Paramètre!$A15</calculatedColumnFormula>
      <totalsRowFormula>NomMois&amp;" Total"</totalsRowFormula>
    </tableColumn>
    <tableColumn id="2" name="1" totalsRowFunction="count" dataDxfId="367" totalsRowDxfId="366"/>
    <tableColumn id="3" name="2" totalsRowFunction="count" dataDxfId="365" totalsRowDxfId="364"/>
    <tableColumn id="4" name="3" totalsRowFunction="count" dataDxfId="363" totalsRowDxfId="362"/>
    <tableColumn id="5" name="4" totalsRowFunction="count" dataDxfId="361" totalsRowDxfId="360"/>
    <tableColumn id="6" name="5" totalsRowFunction="count" dataDxfId="359" totalsRowDxfId="358"/>
    <tableColumn id="7" name="6" totalsRowFunction="count" dataDxfId="357" totalsRowDxfId="356"/>
    <tableColumn id="8" name="7" totalsRowFunction="count" dataDxfId="355" totalsRowDxfId="354"/>
    <tableColumn id="9" name="8" totalsRowFunction="count" dataDxfId="353" totalsRowDxfId="352"/>
    <tableColumn id="10" name="9" totalsRowFunction="count" dataDxfId="351" totalsRowDxfId="350"/>
    <tableColumn id="11" name="10" totalsRowFunction="count" dataDxfId="349" totalsRowDxfId="348"/>
    <tableColumn id="12" name="11" totalsRowFunction="count" dataDxfId="347" totalsRowDxfId="346"/>
    <tableColumn id="13" name="12" totalsRowFunction="count" dataDxfId="345" totalsRowDxfId="344"/>
    <tableColumn id="14" name="13" totalsRowFunction="count" dataDxfId="343" totalsRowDxfId="342"/>
    <tableColumn id="15" name="14" totalsRowFunction="count" dataDxfId="341" totalsRowDxfId="340"/>
    <tableColumn id="16" name="15" totalsRowFunction="count" dataDxfId="339" totalsRowDxfId="338"/>
    <tableColumn id="17" name="16" totalsRowFunction="count" dataDxfId="337" totalsRowDxfId="336"/>
    <tableColumn id="18" name="17" totalsRowFunction="count" dataDxfId="335" totalsRowDxfId="334"/>
    <tableColumn id="19" name="18" totalsRowFunction="count" dataDxfId="333" totalsRowDxfId="332"/>
    <tableColumn id="20" name="19" totalsRowFunction="count" dataDxfId="331" totalsRowDxfId="330"/>
    <tableColumn id="21" name="20" totalsRowFunction="count" dataDxfId="329" totalsRowDxfId="328"/>
    <tableColumn id="22" name="21" totalsRowFunction="count" dataDxfId="327" totalsRowDxfId="326"/>
    <tableColumn id="23" name="22" totalsRowFunction="count" dataDxfId="325" totalsRowDxfId="324"/>
    <tableColumn id="24" name="23" totalsRowFunction="count" dataDxfId="323" totalsRowDxfId="322"/>
    <tableColumn id="25" name="24" totalsRowFunction="count" dataDxfId="321" totalsRowDxfId="320"/>
    <tableColumn id="26" name="25" totalsRowFunction="count" dataDxfId="319" totalsRowDxfId="318"/>
    <tableColumn id="27" name="26" totalsRowFunction="count" dataDxfId="317" totalsRowDxfId="316"/>
    <tableColumn id="28" name="27" totalsRowFunction="count" dataDxfId="315" totalsRowDxfId="314"/>
    <tableColumn id="29" name="28" totalsRowFunction="count" dataDxfId="313" totalsRowDxfId="312"/>
    <tableColumn id="30" name="29" totalsRowFunction="count" dataDxfId="311" totalsRowDxfId="310"/>
    <tableColumn id="31" name="30" totalsRowFunction="sum" dataDxfId="309" totalsRowDxfId="308"/>
    <tableColumn id="32" name="31" totalsRowFunction="sum" dataDxfId="307" totalsRowDxfId="306" dataCellStyle="Total"/>
    <tableColumn id="33" name="Total des jours" totalsRowFunction="sum" dataDxfId="305" totalsRowDxfId="304" dataCellStyle="Total">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20" name="Septembre" displayName="Septembre" ref="B6:AH37" totalsRowCount="1" headerRowDxfId="296" dataDxfId="295" totalsRowDxfId="294">
  <tableColumns count="33">
    <tableColumn id="1" name="Nom de l’employé" totalsRowFunction="custom" dataDxfId="293" totalsRowDxfId="292">
      <calculatedColumnFormula>Paramètre!$A15</calculatedColumnFormula>
      <totalsRowFormula>NomMois&amp;" Total"</totalsRowFormula>
    </tableColumn>
    <tableColumn id="2" name="1" totalsRowFunction="count" dataDxfId="291" totalsRowDxfId="290"/>
    <tableColumn id="3" name="2" totalsRowFunction="count" dataDxfId="289" totalsRowDxfId="288"/>
    <tableColumn id="4" name="3" totalsRowFunction="count" dataDxfId="287" totalsRowDxfId="286"/>
    <tableColumn id="5" name="4" totalsRowFunction="count" dataDxfId="285" totalsRowDxfId="284"/>
    <tableColumn id="6" name="5" totalsRowFunction="count" dataDxfId="283" totalsRowDxfId="282"/>
    <tableColumn id="7" name="6" totalsRowFunction="count" dataDxfId="281" totalsRowDxfId="280"/>
    <tableColumn id="8" name="7" totalsRowFunction="count" dataDxfId="279" totalsRowDxfId="278"/>
    <tableColumn id="9" name="8" totalsRowFunction="count" dataDxfId="277" totalsRowDxfId="276"/>
    <tableColumn id="10" name="9" totalsRowFunction="count" dataDxfId="275" totalsRowDxfId="274"/>
    <tableColumn id="11" name="10" totalsRowFunction="count" dataDxfId="273" totalsRowDxfId="272"/>
    <tableColumn id="12" name="11" totalsRowFunction="count" dataDxfId="271" totalsRowDxfId="270"/>
    <tableColumn id="13" name="12" totalsRowFunction="count" dataDxfId="269" totalsRowDxfId="268"/>
    <tableColumn id="14" name="13" totalsRowFunction="count" dataDxfId="267" totalsRowDxfId="266"/>
    <tableColumn id="15" name="14" totalsRowFunction="count" dataDxfId="265" totalsRowDxfId="264"/>
    <tableColumn id="16" name="15" totalsRowFunction="count" dataDxfId="263" totalsRowDxfId="262"/>
    <tableColumn id="17" name="16" totalsRowFunction="count" dataDxfId="261" totalsRowDxfId="260"/>
    <tableColumn id="18" name="17" totalsRowFunction="count" dataDxfId="259" totalsRowDxfId="258"/>
    <tableColumn id="19" name="18" totalsRowFunction="count" dataDxfId="257" totalsRowDxfId="256"/>
    <tableColumn id="20" name="19" totalsRowFunction="count" dataDxfId="255" totalsRowDxfId="254"/>
    <tableColumn id="21" name="20" totalsRowFunction="count" dataDxfId="253" totalsRowDxfId="252"/>
    <tableColumn id="22" name="21" totalsRowFunction="count" dataDxfId="251" totalsRowDxfId="250"/>
    <tableColumn id="23" name="22" totalsRowFunction="count" dataDxfId="249" totalsRowDxfId="248"/>
    <tableColumn id="24" name="23" totalsRowFunction="count" dataDxfId="247" totalsRowDxfId="246"/>
    <tableColumn id="25" name="24" totalsRowFunction="count" dataDxfId="245" totalsRowDxfId="244"/>
    <tableColumn id="26" name="25" totalsRowFunction="count" dataDxfId="243" totalsRowDxfId="242"/>
    <tableColumn id="27" name="26" totalsRowFunction="count" dataDxfId="241" totalsRowDxfId="240"/>
    <tableColumn id="28" name="27" totalsRowFunction="count" dataDxfId="239" totalsRowDxfId="238"/>
    <tableColumn id="29" name="28" totalsRowFunction="count" dataDxfId="237" totalsRowDxfId="236"/>
    <tableColumn id="30" name="29" totalsRowFunction="count" dataDxfId="235" totalsRowDxfId="234"/>
    <tableColumn id="31" name="30" totalsRowFunction="sum" dataDxfId="233" totalsRowDxfId="232"/>
    <tableColumn id="32" name="31" totalsRowFunction="sum" dataDxfId="231" totalsRowDxfId="230" dataCellStyle="Total"/>
    <tableColumn id="33" name="Total des jours" totalsRowFunction="sum" dataDxfId="229" totalsRowDxfId="228" dataCellStyle="Total">
      <calculatedColumnFormula>COUNTA(Septembre[[#This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1" name="Octobre" displayName="Octobre" ref="B6:AH37" totalsRowCount="1" headerRowDxfId="220" dataDxfId="219" totalsRowDxfId="218">
  <tableColumns count="33">
    <tableColumn id="1" name="Nom de l’employé" totalsRowFunction="custom" dataDxfId="217" totalsRowDxfId="216">
      <calculatedColumnFormula>Paramètre!$A15</calculatedColumnFormula>
      <totalsRowFormula>NomMois&amp;" Total"</totalsRowFormula>
    </tableColumn>
    <tableColumn id="2" name="1" totalsRowFunction="count" dataDxfId="215" totalsRowDxfId="214"/>
    <tableColumn id="3" name="2" totalsRowFunction="count" dataDxfId="213" totalsRowDxfId="212"/>
    <tableColumn id="4" name="3" totalsRowFunction="count" dataDxfId="211" totalsRowDxfId="210"/>
    <tableColumn id="5" name="4" totalsRowFunction="count" dataDxfId="209" totalsRowDxfId="208"/>
    <tableColumn id="6" name="5" totalsRowFunction="count" dataDxfId="207" totalsRowDxfId="206"/>
    <tableColumn id="7" name="6" totalsRowFunction="count" dataDxfId="205" totalsRowDxfId="204"/>
    <tableColumn id="8" name="7" totalsRowFunction="count" dataDxfId="203" totalsRowDxfId="202"/>
    <tableColumn id="9" name="8" totalsRowFunction="count" dataDxfId="201" totalsRowDxfId="200"/>
    <tableColumn id="10" name="9" totalsRowFunction="count" dataDxfId="199" totalsRowDxfId="198"/>
    <tableColumn id="11" name="10" totalsRowFunction="count" dataDxfId="197" totalsRowDxfId="196"/>
    <tableColumn id="12" name="11" totalsRowFunction="count" dataDxfId="195" totalsRowDxfId="194"/>
    <tableColumn id="13" name="12" totalsRowFunction="count" dataDxfId="193" totalsRowDxfId="192"/>
    <tableColumn id="14" name="13" totalsRowFunction="count" dataDxfId="191" totalsRowDxfId="190"/>
    <tableColumn id="15" name="14" totalsRowFunction="count" dataDxfId="189" totalsRowDxfId="188"/>
    <tableColumn id="16" name="15" totalsRowFunction="count" dataDxfId="187" totalsRowDxfId="186"/>
    <tableColumn id="17" name="16" totalsRowFunction="count" dataDxfId="185" totalsRowDxfId="184"/>
    <tableColumn id="18" name="17" totalsRowFunction="count" dataDxfId="183" totalsRowDxfId="182"/>
    <tableColumn id="19" name="18" totalsRowFunction="count" dataDxfId="181" totalsRowDxfId="180"/>
    <tableColumn id="20" name="19" totalsRowFunction="count" dataDxfId="179" totalsRowDxfId="178"/>
    <tableColumn id="21" name="20" totalsRowFunction="count" dataDxfId="177" totalsRowDxfId="176"/>
    <tableColumn id="22" name="21" totalsRowFunction="count" dataDxfId="175" totalsRowDxfId="174"/>
    <tableColumn id="23" name="22" totalsRowFunction="count" dataDxfId="173" totalsRowDxfId="172"/>
    <tableColumn id="24" name="23" totalsRowFunction="count" dataDxfId="171" totalsRowDxfId="170"/>
    <tableColumn id="25" name="24" totalsRowFunction="count" dataDxfId="169" totalsRowDxfId="168"/>
    <tableColumn id="26" name="25" totalsRowFunction="count" dataDxfId="167" totalsRowDxfId="166"/>
    <tableColumn id="27" name="26" totalsRowFunction="count" dataDxfId="165" totalsRowDxfId="164"/>
    <tableColumn id="28" name="27" totalsRowFunction="count" dataDxfId="163" totalsRowDxfId="162"/>
    <tableColumn id="29" name="28" totalsRowFunction="count" dataDxfId="161" totalsRowDxfId="160"/>
    <tableColumn id="30" name="29" totalsRowFunction="count" dataDxfId="159" totalsRowDxfId="158"/>
    <tableColumn id="31" name="30" totalsRowFunction="sum" dataDxfId="157" totalsRowDxfId="156"/>
    <tableColumn id="32" name="31" totalsRowFunction="sum" dataDxfId="155" totalsRowDxfId="154" dataCellStyle="Total"/>
    <tableColumn id="33" name="Total des jours" totalsRowFunction="sum" dataDxfId="153" totalsRowDxfId="152" dataCellStyle="Total">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2" name="Novembre" displayName="Novembre" ref="B6:AH37" totalsRowCount="1" headerRowDxfId="144" dataDxfId="143" totalsRowDxfId="142">
  <tableColumns count="33">
    <tableColumn id="1" name="Nom de l’employé" totalsRowFunction="custom" dataDxfId="141" totalsRowDxfId="140">
      <calculatedColumnFormula>Paramètre!$A15</calculatedColumnFormula>
      <totalsRowFormula>NomMois&amp;" Total"</totalsRowFormula>
    </tableColumn>
    <tableColumn id="2" name="1" totalsRowFunction="count" dataDxfId="139" totalsRowDxfId="138"/>
    <tableColumn id="3" name="2" totalsRowFunction="count" dataDxfId="137" totalsRowDxfId="136"/>
    <tableColumn id="4" name="3" totalsRowFunction="count" dataDxfId="135" totalsRowDxfId="134"/>
    <tableColumn id="5" name="4" totalsRowFunction="count" dataDxfId="133" totalsRowDxfId="132"/>
    <tableColumn id="6" name="5" totalsRowFunction="count" dataDxfId="131" totalsRowDxfId="130"/>
    <tableColumn id="7" name="6" totalsRowFunction="count" dataDxfId="129" totalsRowDxfId="128"/>
    <tableColumn id="8" name="7" totalsRowFunction="count" dataDxfId="127" totalsRowDxfId="126"/>
    <tableColumn id="9" name="8" totalsRowFunction="count" dataDxfId="125" totalsRowDxfId="124"/>
    <tableColumn id="10" name="9" totalsRowFunction="count" dataDxfId="123" totalsRowDxfId="122"/>
    <tableColumn id="11" name="10" totalsRowFunction="count" dataDxfId="121" totalsRowDxfId="120"/>
    <tableColumn id="12" name="11" totalsRowFunction="count" dataDxfId="119" totalsRowDxfId="118"/>
    <tableColumn id="13" name="12" totalsRowFunction="count" dataDxfId="117" totalsRowDxfId="116"/>
    <tableColumn id="14" name="13" totalsRowFunction="count" dataDxfId="115" totalsRowDxfId="114"/>
    <tableColumn id="15" name="14" totalsRowFunction="count" dataDxfId="113" totalsRowDxfId="112"/>
    <tableColumn id="16" name="15" totalsRowFunction="count" dataDxfId="111" totalsRowDxfId="110"/>
    <tableColumn id="17" name="16" totalsRowFunction="count" dataDxfId="109" totalsRowDxfId="108"/>
    <tableColumn id="18" name="17" totalsRowFunction="count" dataDxfId="107" totalsRowDxfId="106"/>
    <tableColumn id="19" name="18" totalsRowFunction="count" dataDxfId="105" totalsRowDxfId="104"/>
    <tableColumn id="20" name="19" totalsRowFunction="count" dataDxfId="103" totalsRowDxfId="102"/>
    <tableColumn id="21" name="20" totalsRowFunction="count" dataDxfId="101" totalsRowDxfId="100"/>
    <tableColumn id="22" name="21" totalsRowFunction="count" dataDxfId="99" totalsRowDxfId="98"/>
    <tableColumn id="23" name="22" totalsRowFunction="count" dataDxfId="97" totalsRowDxfId="96"/>
    <tableColumn id="24" name="23" totalsRowFunction="count" dataDxfId="95" totalsRowDxfId="94"/>
    <tableColumn id="25" name="24" totalsRowFunction="count" dataDxfId="93" totalsRowDxfId="92"/>
    <tableColumn id="26" name="25" totalsRowFunction="count" dataDxfId="91" totalsRowDxfId="90"/>
    <tableColumn id="27" name="26" totalsRowFunction="count" dataDxfId="89" totalsRowDxfId="88"/>
    <tableColumn id="28" name="27" totalsRowFunction="count" dataDxfId="87" totalsRowDxfId="86"/>
    <tableColumn id="29" name="28" totalsRowFunction="count" dataDxfId="85" totalsRowDxfId="84"/>
    <tableColumn id="30" name="29" totalsRowFunction="count" dataDxfId="83" totalsRowDxfId="82"/>
    <tableColumn id="31" name="30" totalsRowFunction="sum" dataDxfId="81" totalsRowDxfId="80"/>
    <tableColumn id="32" name="31" totalsRowFunction="sum" dataDxfId="79" totalsRowDxfId="78" dataCellStyle="Total"/>
    <tableColumn id="33" name="Total des jours" totalsRowFunction="sum" dataDxfId="77" totalsRowDxfId="76" dataCellStyle="Total">
      <calculatedColumnFormula>COUNTA(Novembre[[#This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2" name="Décembre" displayName="Décembre" ref="B6:AH37" totalsRowCount="1" headerRowDxfId="68" dataDxfId="67" totalsRowDxfId="66">
  <tableColumns count="33">
    <tableColumn id="1" name="Nom de l’employé" totalsRowFunction="custom" dataDxfId="65" totalsRowDxfId="64">
      <calculatedColumnFormula>Paramètre!$A15</calculatedColumnFormula>
      <totalsRowFormula>NomMois&amp;" Total"</totalsRowFormula>
    </tableColumn>
    <tableColumn id="2" name="1" totalsRowFunction="count" dataDxfId="63" totalsRowDxfId="62"/>
    <tableColumn id="3" name="2" totalsRowFunction="count" dataDxfId="61" totalsRowDxfId="60"/>
    <tableColumn id="4" name="3" totalsRowFunction="count" dataDxfId="59" totalsRowDxfId="58"/>
    <tableColumn id="5" name="4" totalsRowFunction="count" dataDxfId="57" totalsRowDxfId="56"/>
    <tableColumn id="6" name="5" totalsRowFunction="count" dataDxfId="55" totalsRowDxfId="54"/>
    <tableColumn id="7" name="6" totalsRowFunction="count" dataDxfId="53" totalsRowDxfId="52"/>
    <tableColumn id="8" name="7" totalsRowFunction="count" dataDxfId="51" totalsRowDxfId="50"/>
    <tableColumn id="9" name="8" totalsRowFunction="count" dataDxfId="49" totalsRowDxfId="48"/>
    <tableColumn id="10" name="9" totalsRowFunction="count" dataDxfId="47" totalsRowDxfId="46"/>
    <tableColumn id="11" name="10" totalsRowFunction="count" dataDxfId="45" totalsRowDxfId="44"/>
    <tableColumn id="12" name="11" totalsRowFunction="count" dataDxfId="43" totalsRowDxfId="42"/>
    <tableColumn id="13" name="12" totalsRowFunction="count" dataDxfId="41" totalsRowDxfId="40"/>
    <tableColumn id="14" name="13" totalsRowFunction="count" dataDxfId="39" totalsRowDxfId="38"/>
    <tableColumn id="15" name="14" totalsRowFunction="count" dataDxfId="37" totalsRowDxfId="36"/>
    <tableColumn id="16" name="15" totalsRowFunction="count" dataDxfId="35" totalsRowDxfId="34"/>
    <tableColumn id="17" name="16" totalsRowFunction="count" dataDxfId="33" totalsRowDxfId="32"/>
    <tableColumn id="18" name="17" totalsRowFunction="count" dataDxfId="31" totalsRowDxfId="30"/>
    <tableColumn id="19" name="18" totalsRowFunction="count" dataDxfId="29" totalsRowDxfId="28"/>
    <tableColumn id="20" name="19" totalsRowFunction="count" dataDxfId="27" totalsRowDxfId="26"/>
    <tableColumn id="21" name="20" totalsRowFunction="count" dataDxfId="25" totalsRowDxfId="24"/>
    <tableColumn id="22" name="21" totalsRowFunction="count" dataDxfId="23" totalsRowDxfId="22"/>
    <tableColumn id="23" name="22" totalsRowFunction="count" dataDxfId="21" totalsRowDxfId="20"/>
    <tableColumn id="24" name="23" totalsRowFunction="count" dataDxfId="19" totalsRowDxfId="18"/>
    <tableColumn id="25" name="24" totalsRowFunction="count" dataDxfId="17" totalsRowDxfId="16"/>
    <tableColumn id="26" name="25" totalsRowFunction="count" dataDxfId="15" totalsRowDxfId="14"/>
    <tableColumn id="27" name="26" totalsRowFunction="count" dataDxfId="13" totalsRowDxfId="12"/>
    <tableColumn id="28" name="27" totalsRowFunction="count" dataDxfId="11" totalsRowDxfId="10"/>
    <tableColumn id="29" name="28" totalsRowFunction="count" dataDxfId="9" totalsRowDxfId="8"/>
    <tableColumn id="30" name="29" totalsRowFunction="count" dataDxfId="7" totalsRowDxfId="6"/>
    <tableColumn id="31" name="30" totalsRowFunction="sum" dataDxfId="5" totalsRowDxfId="4"/>
    <tableColumn id="32" name="31" totalsRowFunction="sum" dataDxfId="3" totalsRowDxfId="2" dataCellStyle="Total"/>
    <tableColumn id="33" name="Total des jours" totalsRowFunction="sum" dataDxfId="1" totalsRowDxfId="0" dataCellStyle="Total">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7.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8.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drawing" Target="../drawings/drawing9.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10.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11.x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12.xml"/><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drawing" Target="../drawings/drawing13.x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3" Type="http://schemas.openxmlformats.org/officeDocument/2006/relationships/table" Target="../tables/table11.xml"/><Relationship Id="rId2" Type="http://schemas.openxmlformats.org/officeDocument/2006/relationships/drawing" Target="../drawings/drawing14.xml"/><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drawing" Target="../drawings/drawing15.xml"/><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F2:M8"/>
  <sheetViews>
    <sheetView tabSelected="1" workbookViewId="0">
      <selection activeCell="L7" sqref="L7"/>
    </sheetView>
  </sheetViews>
  <sheetFormatPr baseColWidth="10" defaultRowHeight="15" x14ac:dyDescent="0.25"/>
  <cols>
    <col min="1" max="16384" width="11.42578125" style="31"/>
  </cols>
  <sheetData>
    <row r="2" spans="6:13" ht="18.75" x14ac:dyDescent="0.25">
      <c r="F2" s="33" t="str">
        <f>Paramètre!B1</f>
        <v xml:space="preserve">RENAULT </v>
      </c>
      <c r="G2" s="32"/>
      <c r="H2" s="32"/>
      <c r="I2" s="32"/>
    </row>
    <row r="3" spans="6:13" ht="18.75" x14ac:dyDescent="0.25">
      <c r="F3" s="33" t="str">
        <f>Paramètre!B2</f>
        <v>Calendrier des absences des employés EQ B</v>
      </c>
      <c r="G3" s="32"/>
      <c r="H3" s="32"/>
      <c r="I3" s="32"/>
    </row>
    <row r="4" spans="6:13" ht="18.75" x14ac:dyDescent="0.25">
      <c r="F4" s="33" t="str">
        <f>Paramètre!A4  &amp;  Paramètre!B4</f>
        <v>UET :QUALITE</v>
      </c>
      <c r="G4" s="32"/>
      <c r="H4" s="32"/>
      <c r="I4" s="32"/>
    </row>
    <row r="8" spans="6:13" x14ac:dyDescent="0.25">
      <c r="M8" s="35"/>
    </row>
  </sheetData>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N77"/>
  <sheetViews>
    <sheetView workbookViewId="0">
      <selection activeCell="P34" sqref="P34"/>
    </sheetView>
  </sheetViews>
  <sheetFormatPr baseColWidth="10" defaultRowHeight="15" x14ac:dyDescent="0.25"/>
  <cols>
    <col min="1" max="1" width="14.140625" style="31" customWidth="1"/>
    <col min="2" max="5" width="11.42578125" style="31"/>
    <col min="6" max="6" width="12.85546875" style="31" bestFit="1" customWidth="1"/>
    <col min="7" max="16384" width="11.42578125" style="31"/>
  </cols>
  <sheetData>
    <row r="1" spans="1:13" x14ac:dyDescent="0.25">
      <c r="A1" s="47" t="s">
        <v>73</v>
      </c>
      <c r="B1" s="47"/>
      <c r="C1" s="47"/>
    </row>
    <row r="2" spans="1:13" x14ac:dyDescent="0.25">
      <c r="A2" s="47"/>
      <c r="B2" s="47"/>
      <c r="C2" s="47"/>
    </row>
    <row r="4" spans="1:13" x14ac:dyDescent="0.25">
      <c r="A4" s="46" t="s">
        <v>0</v>
      </c>
      <c r="B4" s="46"/>
      <c r="C4" s="3" t="s">
        <v>3</v>
      </c>
      <c r="D4" s="31" t="s">
        <v>6</v>
      </c>
      <c r="E4" s="4" t="s">
        <v>57</v>
      </c>
      <c r="F4" s="31" t="s">
        <v>58</v>
      </c>
      <c r="G4" s="5" t="s">
        <v>10</v>
      </c>
      <c r="H4" s="31" t="s">
        <v>16</v>
      </c>
      <c r="I4" s="7" t="s">
        <v>55</v>
      </c>
      <c r="J4" s="31" t="s">
        <v>56</v>
      </c>
      <c r="K4" s="6" t="s">
        <v>59</v>
      </c>
      <c r="L4" s="31" t="s">
        <v>60</v>
      </c>
    </row>
    <row r="7" spans="1:13" x14ac:dyDescent="0.25">
      <c r="A7" s="48" t="s">
        <v>74</v>
      </c>
      <c r="B7" s="48"/>
      <c r="C7" s="48"/>
    </row>
    <row r="9" spans="1:13" ht="15.75" x14ac:dyDescent="0.25">
      <c r="A9" s="36" t="s">
        <v>70</v>
      </c>
      <c r="B9" s="39" t="s">
        <v>1</v>
      </c>
      <c r="C9" s="39" t="s">
        <v>41</v>
      </c>
      <c r="D9" s="39" t="s">
        <v>44</v>
      </c>
      <c r="E9" s="39" t="s">
        <v>45</v>
      </c>
      <c r="F9" s="39" t="s">
        <v>46</v>
      </c>
      <c r="G9" s="39" t="s">
        <v>47</v>
      </c>
      <c r="H9" s="39" t="s">
        <v>48</v>
      </c>
      <c r="I9" s="39" t="s">
        <v>49</v>
      </c>
      <c r="J9" s="39" t="s">
        <v>50</v>
      </c>
      <c r="K9" s="39" t="s">
        <v>51</v>
      </c>
      <c r="L9" s="39" t="s">
        <v>52</v>
      </c>
      <c r="M9" s="39" t="s">
        <v>53</v>
      </c>
    </row>
    <row r="10" spans="1:13" x14ac:dyDescent="0.25">
      <c r="A10" s="38" t="s">
        <v>3</v>
      </c>
      <c r="B10" s="37">
        <f>COUNTIF(Janvier[[1]:[31]],"c")</f>
        <v>0</v>
      </c>
      <c r="C10" s="37">
        <f>COUNTIF(Février[[1]:[29]],"c")</f>
        <v>0</v>
      </c>
      <c r="D10" s="37">
        <f>COUNTIF(Mars[[1]:[31]],"c")</f>
        <v>0</v>
      </c>
      <c r="E10" s="37">
        <f>COUNTIF(Avril[[1]:[31]],"c")</f>
        <v>4</v>
      </c>
      <c r="F10" s="37">
        <f>COUNTIF(Mai[[1]:[31]],"c")</f>
        <v>0</v>
      </c>
      <c r="G10" s="37">
        <f>COUNTIF(Juin[[1]:[31]],"c")</f>
        <v>0</v>
      </c>
      <c r="H10" s="37">
        <f>COUNTIF(Juillet[[1]:[31]],"c")</f>
        <v>0</v>
      </c>
      <c r="I10" s="37">
        <f>COUNTIF(Août[[1]:[31]],"c")</f>
        <v>0</v>
      </c>
      <c r="J10" s="37">
        <f>COUNTIF(Septembre[[1]:[31]],"c")</f>
        <v>0</v>
      </c>
      <c r="K10" s="37">
        <f>COUNTIF(Octobre[[1]:[31]],"c")</f>
        <v>0</v>
      </c>
      <c r="L10" s="37">
        <f>COUNTIF(Novembre[[1]:[31]],"c")</f>
        <v>0</v>
      </c>
      <c r="M10" s="37">
        <f>COUNTIF(Décembre[[1]:[31]],"c")</f>
        <v>0</v>
      </c>
    </row>
    <row r="11" spans="1:13" x14ac:dyDescent="0.25">
      <c r="A11" s="38" t="s">
        <v>57</v>
      </c>
      <c r="B11" s="37">
        <f>COUNTIF(Janvier[[1]:[31]],"R")</f>
        <v>3</v>
      </c>
      <c r="C11" s="37">
        <f>COUNTIF(Février[[1]:[29]],"R")</f>
        <v>0</v>
      </c>
      <c r="D11" s="37">
        <f>COUNTIF(Mars[[1]:[31]],"R")</f>
        <v>0</v>
      </c>
      <c r="E11" s="37">
        <f>COUNTIF(Avril[[1]:[31]],"R")</f>
        <v>2</v>
      </c>
      <c r="F11" s="37">
        <f>COUNTIF(Mai[[1]:[31]],"R")</f>
        <v>0</v>
      </c>
      <c r="G11" s="37">
        <f>COUNTIF(Juin[[1]:[31]],"R")</f>
        <v>0</v>
      </c>
      <c r="H11" s="37">
        <f>COUNTIF(Juillet[[1]:[31]],"R")</f>
        <v>0</v>
      </c>
      <c r="I11" s="37">
        <f>COUNTIF(Août[[1]:[31]],"R")</f>
        <v>0</v>
      </c>
      <c r="J11" s="37">
        <f>COUNTIF(Septembre[[1]:[31]],"R")</f>
        <v>0</v>
      </c>
      <c r="K11" s="37">
        <f>COUNTIF(Octobre[[1]:[31]],"R")</f>
        <v>0</v>
      </c>
      <c r="L11" s="37">
        <f>COUNTIF(Novembre[[1]:[31]],"R")</f>
        <v>0</v>
      </c>
      <c r="M11" s="37">
        <f>COUNTIF(Décembre[[1]:[31]],"R")</f>
        <v>0</v>
      </c>
    </row>
    <row r="12" spans="1:13" x14ac:dyDescent="0.25">
      <c r="A12" s="38" t="s">
        <v>10</v>
      </c>
      <c r="B12" s="37">
        <f>COUNTIF(Janvier[[1]:[31]],"M")</f>
        <v>0</v>
      </c>
      <c r="C12" s="37">
        <f>COUNTIF(Février[[1]:[29]],"M")</f>
        <v>0</v>
      </c>
      <c r="D12" s="37">
        <f>COUNTIF(Mars[[1]:[31]],"M")</f>
        <v>0</v>
      </c>
      <c r="E12" s="37">
        <f>COUNTIF(Avril[[1]:[31]],"M")</f>
        <v>7</v>
      </c>
      <c r="F12" s="37">
        <f>COUNTIF(Mai[[1]:[31]],"M")</f>
        <v>0</v>
      </c>
      <c r="G12" s="37">
        <f>COUNTIF(Juin[[1]:[31]],"M")</f>
        <v>0</v>
      </c>
      <c r="H12" s="37">
        <f>COUNTIF(Juillet[[1]:[31]],"M")</f>
        <v>0</v>
      </c>
      <c r="I12" s="37">
        <f>COUNTIF(Août[[1]:[31]],"M")</f>
        <v>0</v>
      </c>
      <c r="J12" s="37">
        <f>COUNTIF(Septembre[[1]:[31]],"M")</f>
        <v>0</v>
      </c>
      <c r="K12" s="37">
        <f>COUNTIF(Octobre[[1]:[31]],"M")</f>
        <v>0</v>
      </c>
      <c r="L12" s="37">
        <f>COUNTIF(Novembre[[1]:[31]],"M")</f>
        <v>0</v>
      </c>
      <c r="M12" s="37">
        <f>COUNTIF(Décembre[[1]:[31]],"M")</f>
        <v>0</v>
      </c>
    </row>
    <row r="13" spans="1:13" x14ac:dyDescent="0.25">
      <c r="A13" s="38" t="s">
        <v>55</v>
      </c>
      <c r="B13" s="37">
        <f>COUNTIF(Janvier[[1]:[31]],"AA")</f>
        <v>0</v>
      </c>
      <c r="C13" s="37">
        <f>COUNTIF(Février[[1]:[29]],"AA")</f>
        <v>0</v>
      </c>
      <c r="D13" s="37">
        <f>COUNTIF(Mars[[1]:[31]],"AA")</f>
        <v>0</v>
      </c>
      <c r="E13" s="37">
        <f>COUNTIF(Avril[[1]:[31]],"AA")</f>
        <v>2</v>
      </c>
      <c r="F13" s="37">
        <f>COUNTIF(Mai[[1]:[31]],"AA")</f>
        <v>0</v>
      </c>
      <c r="G13" s="37">
        <f>COUNTIF(Juin[[1]:[31]],"AA")</f>
        <v>0</v>
      </c>
      <c r="H13" s="37">
        <f>COUNTIF(Juillet[[1]:[31]],"AA")</f>
        <v>0</v>
      </c>
      <c r="I13" s="37">
        <f>COUNTIF(Août[[1]:[31]],"AA")</f>
        <v>0</v>
      </c>
      <c r="J13" s="37">
        <f>COUNTIF(Septembre[[1]:[31]],"AA")</f>
        <v>0</v>
      </c>
      <c r="K13" s="37">
        <f>COUNTIF(Octobre[[1]:[31]],"AA")</f>
        <v>0</v>
      </c>
      <c r="L13" s="37">
        <f>COUNTIF(Novembre[[1]:[31]],"AA")</f>
        <v>0</v>
      </c>
      <c r="M13" s="37">
        <f>COUNTIF(Décembre[[1]:[31]],"AA")</f>
        <v>0</v>
      </c>
    </row>
    <row r="14" spans="1:13" ht="15.75" thickBot="1" x14ac:dyDescent="0.3">
      <c r="A14" s="40" t="s">
        <v>59</v>
      </c>
      <c r="B14" s="41">
        <f>COUNTIF(Janvier[[1]:[31]],"AI")</f>
        <v>0</v>
      </c>
      <c r="C14" s="41">
        <f>COUNTIF(Février[[1]:[29]],"AI")</f>
        <v>0</v>
      </c>
      <c r="D14" s="41">
        <f>COUNTIF(Mars[[1]:[31]],"AI")</f>
        <v>0</v>
      </c>
      <c r="E14" s="41">
        <f>COUNTIF(Avril[[1]:[31]],"AI")</f>
        <v>2</v>
      </c>
      <c r="F14" s="41">
        <f>COUNTIF(Mai[[1]:[31]],"AI")</f>
        <v>0</v>
      </c>
      <c r="G14" s="41">
        <f>COUNTIF(Juin[[1]:[31]],"AI")</f>
        <v>0</v>
      </c>
      <c r="H14" s="41">
        <f>COUNTIF(Juillet[[1]:[31]],"AI")</f>
        <v>0</v>
      </c>
      <c r="I14" s="41">
        <f>COUNTIF(Août[[1]:[31]],"AI")</f>
        <v>0</v>
      </c>
      <c r="J14" s="41">
        <f>COUNTIF(Septembre[[1]:[31]],"AI")</f>
        <v>0</v>
      </c>
      <c r="K14" s="41">
        <f>COUNTIF(Octobre[[1]:[31]],"AI")</f>
        <v>0</v>
      </c>
      <c r="L14" s="41">
        <f>COUNTIF(Novembre[[1]:[31]],"AI")</f>
        <v>0</v>
      </c>
      <c r="M14" s="41">
        <f>COUNTIF(Décembre[[1]:[31]],"AI")</f>
        <v>0</v>
      </c>
    </row>
    <row r="15" spans="1:13" ht="16.5" thickTop="1" thickBot="1" x14ac:dyDescent="0.3">
      <c r="A15" s="42" t="s">
        <v>72</v>
      </c>
      <c r="B15" s="43">
        <f>SUM(B10:B14)</f>
        <v>3</v>
      </c>
      <c r="C15" s="43">
        <f t="shared" ref="C15:M15" si="0">SUM(C10:C14)</f>
        <v>0</v>
      </c>
      <c r="D15" s="43">
        <f t="shared" si="0"/>
        <v>0</v>
      </c>
      <c r="E15" s="43">
        <f t="shared" si="0"/>
        <v>17</v>
      </c>
      <c r="F15" s="43">
        <f t="shared" si="0"/>
        <v>0</v>
      </c>
      <c r="G15" s="43">
        <f t="shared" si="0"/>
        <v>0</v>
      </c>
      <c r="H15" s="43">
        <f t="shared" si="0"/>
        <v>0</v>
      </c>
      <c r="I15" s="43">
        <f t="shared" si="0"/>
        <v>0</v>
      </c>
      <c r="J15" s="43">
        <f t="shared" si="0"/>
        <v>0</v>
      </c>
      <c r="K15" s="43">
        <f t="shared" si="0"/>
        <v>0</v>
      </c>
      <c r="L15" s="43">
        <f t="shared" si="0"/>
        <v>0</v>
      </c>
      <c r="M15" s="44">
        <f t="shared" si="0"/>
        <v>0</v>
      </c>
    </row>
    <row r="16" spans="1:13" ht="15.75" thickTop="1" x14ac:dyDescent="0.25"/>
    <row r="33" spans="1:14" x14ac:dyDescent="0.25">
      <c r="A33" s="48" t="s">
        <v>75</v>
      </c>
      <c r="B33" s="48"/>
      <c r="C33" s="48"/>
    </row>
    <row r="35" spans="1:14" ht="15.75" x14ac:dyDescent="0.25">
      <c r="A35" s="49" t="s">
        <v>76</v>
      </c>
      <c r="B35" s="49"/>
      <c r="C35" s="39" t="s">
        <v>1</v>
      </c>
      <c r="D35" s="39" t="s">
        <v>41</v>
      </c>
      <c r="E35" s="39" t="s">
        <v>44</v>
      </c>
      <c r="F35" s="39" t="s">
        <v>45</v>
      </c>
      <c r="G35" s="39" t="s">
        <v>46</v>
      </c>
      <c r="H35" s="39" t="s">
        <v>47</v>
      </c>
      <c r="I35" s="39" t="s">
        <v>48</v>
      </c>
      <c r="J35" s="39" t="s">
        <v>49</v>
      </c>
      <c r="K35" s="39" t="s">
        <v>50</v>
      </c>
      <c r="L35" s="39" t="s">
        <v>51</v>
      </c>
      <c r="M35" s="39" t="s">
        <v>52</v>
      </c>
      <c r="N35" s="39" t="s">
        <v>53</v>
      </c>
    </row>
    <row r="36" spans="1:14" x14ac:dyDescent="0.25">
      <c r="A36" s="50" t="str">
        <f>Paramètre!A15</f>
        <v>A1</v>
      </c>
      <c r="B36" s="50"/>
      <c r="C36" s="45">
        <f>Janvier!AH7</f>
        <v>0</v>
      </c>
      <c r="D36" s="45">
        <f>Février!AH7</f>
        <v>0</v>
      </c>
      <c r="E36" s="45">
        <f>Février!AH7</f>
        <v>0</v>
      </c>
      <c r="F36" s="45">
        <f>Avril!AH7</f>
        <v>0</v>
      </c>
      <c r="G36" s="45">
        <f>Mai!AH7</f>
        <v>0</v>
      </c>
      <c r="H36" s="45">
        <f>Juin!AH7</f>
        <v>0</v>
      </c>
      <c r="I36" s="45">
        <f>Juillet!AH7</f>
        <v>0</v>
      </c>
      <c r="J36" s="45">
        <f>Août!AH7</f>
        <v>0</v>
      </c>
      <c r="K36" s="45">
        <f>Septembre!AH7</f>
        <v>0</v>
      </c>
      <c r="L36" s="45">
        <f>Octobre!AH7</f>
        <v>0</v>
      </c>
      <c r="M36" s="45">
        <f>Novembre!AH7</f>
        <v>0</v>
      </c>
      <c r="N36" s="45">
        <f>Décembre!AH7</f>
        <v>0</v>
      </c>
    </row>
    <row r="37" spans="1:14" x14ac:dyDescent="0.25">
      <c r="A37" s="50" t="str">
        <f>Paramètre!A16</f>
        <v>A2</v>
      </c>
      <c r="B37" s="50"/>
      <c r="C37" s="45">
        <f>Janvier!AH8</f>
        <v>0</v>
      </c>
      <c r="D37" s="45">
        <f>Février!AH8</f>
        <v>0</v>
      </c>
      <c r="E37" s="45">
        <f>Février!AH8</f>
        <v>0</v>
      </c>
      <c r="F37" s="45">
        <f>Avril!AH8</f>
        <v>0</v>
      </c>
      <c r="G37" s="45">
        <f>Mai!AH8</f>
        <v>0</v>
      </c>
      <c r="H37" s="45">
        <f>Juin!AH8</f>
        <v>0</v>
      </c>
      <c r="I37" s="45">
        <f>Juillet!AH8</f>
        <v>0</v>
      </c>
      <c r="J37" s="45">
        <f>Août!AH8</f>
        <v>0</v>
      </c>
      <c r="K37" s="45">
        <f>Septembre!AH8</f>
        <v>0</v>
      </c>
      <c r="L37" s="45">
        <f>Octobre!AH8</f>
        <v>0</v>
      </c>
      <c r="M37" s="45">
        <f>Novembre!AH8</f>
        <v>0</v>
      </c>
      <c r="N37" s="45">
        <f>Décembre!AH8</f>
        <v>0</v>
      </c>
    </row>
    <row r="38" spans="1:14" x14ac:dyDescent="0.25">
      <c r="A38" s="50" t="str">
        <f>Paramètre!A17</f>
        <v>A3</v>
      </c>
      <c r="B38" s="50"/>
      <c r="C38" s="45">
        <f>Janvier!AH9</f>
        <v>3</v>
      </c>
      <c r="D38" s="45">
        <f>Février!AH9</f>
        <v>0</v>
      </c>
      <c r="E38" s="45">
        <f>Février!AH9</f>
        <v>0</v>
      </c>
      <c r="F38" s="45">
        <f>Avril!AH9</f>
        <v>2</v>
      </c>
      <c r="G38" s="45">
        <f>Mai!AH9</f>
        <v>0</v>
      </c>
      <c r="H38" s="45">
        <f>Juin!AH9</f>
        <v>0</v>
      </c>
      <c r="I38" s="45">
        <f>Juillet!AH9</f>
        <v>0</v>
      </c>
      <c r="J38" s="45">
        <f>Août!AH9</f>
        <v>0</v>
      </c>
      <c r="K38" s="45">
        <f>Septembre!AH9</f>
        <v>0</v>
      </c>
      <c r="L38" s="45">
        <f>Octobre!AH9</f>
        <v>0</v>
      </c>
      <c r="M38" s="45">
        <f>Novembre!AH9</f>
        <v>0</v>
      </c>
      <c r="N38" s="45">
        <f>Décembre!AH9</f>
        <v>0</v>
      </c>
    </row>
    <row r="39" spans="1:14" x14ac:dyDescent="0.25">
      <c r="A39" s="50" t="str">
        <f>Paramètre!A18</f>
        <v>A4</v>
      </c>
      <c r="B39" s="50"/>
      <c r="C39" s="45">
        <f>Janvier!AH10</f>
        <v>0</v>
      </c>
      <c r="D39" s="45">
        <f>Février!AH10</f>
        <v>0</v>
      </c>
      <c r="E39" s="45">
        <f>Février!AH10</f>
        <v>0</v>
      </c>
      <c r="F39" s="45">
        <f>Avril!AH10</f>
        <v>0</v>
      </c>
      <c r="G39" s="45">
        <f>Mai!AH10</f>
        <v>0</v>
      </c>
      <c r="H39" s="45">
        <f>Juin!AH10</f>
        <v>0</v>
      </c>
      <c r="I39" s="45">
        <f>Juillet!AH10</f>
        <v>0</v>
      </c>
      <c r="J39" s="45">
        <f>Août!AH10</f>
        <v>0</v>
      </c>
      <c r="K39" s="45">
        <f>Septembre!AH10</f>
        <v>0</v>
      </c>
      <c r="L39" s="45">
        <f>Octobre!AH10</f>
        <v>0</v>
      </c>
      <c r="M39" s="45">
        <f>Novembre!AH10</f>
        <v>0</v>
      </c>
      <c r="N39" s="45">
        <f>Décembre!AH10</f>
        <v>0</v>
      </c>
    </row>
    <row r="40" spans="1:14" x14ac:dyDescent="0.25">
      <c r="A40" s="50" t="str">
        <f>Paramètre!A19</f>
        <v>A5</v>
      </c>
      <c r="B40" s="50"/>
      <c r="C40" s="45">
        <f>Janvier!AH11</f>
        <v>0</v>
      </c>
      <c r="D40" s="45">
        <f>Février!AH11</f>
        <v>0</v>
      </c>
      <c r="E40" s="45">
        <f>Février!AH11</f>
        <v>0</v>
      </c>
      <c r="F40" s="45">
        <f>Avril!AH11</f>
        <v>0</v>
      </c>
      <c r="G40" s="45">
        <f>Mai!AH11</f>
        <v>0</v>
      </c>
      <c r="H40" s="45">
        <f>Juin!AH11</f>
        <v>0</v>
      </c>
      <c r="I40" s="45">
        <f>Juillet!AH11</f>
        <v>0</v>
      </c>
      <c r="J40" s="45">
        <f>Août!AH11</f>
        <v>0</v>
      </c>
      <c r="K40" s="45">
        <f>Septembre!AH11</f>
        <v>0</v>
      </c>
      <c r="L40" s="45">
        <f>Octobre!AH11</f>
        <v>0</v>
      </c>
      <c r="M40" s="45">
        <f>Novembre!AH11</f>
        <v>0</v>
      </c>
      <c r="N40" s="45">
        <f>Décembre!AH11</f>
        <v>0</v>
      </c>
    </row>
    <row r="41" spans="1:14" x14ac:dyDescent="0.25">
      <c r="A41" s="50" t="str">
        <f>Paramètre!A20</f>
        <v>A6</v>
      </c>
      <c r="B41" s="50"/>
      <c r="C41" s="45">
        <f>Janvier!AH12</f>
        <v>0</v>
      </c>
      <c r="D41" s="45">
        <f>Février!AH12</f>
        <v>0</v>
      </c>
      <c r="E41" s="45">
        <f>Février!AH12</f>
        <v>0</v>
      </c>
      <c r="F41" s="45">
        <f>Avril!AH12</f>
        <v>0</v>
      </c>
      <c r="G41" s="45">
        <f>Mai!AH12</f>
        <v>0</v>
      </c>
      <c r="H41" s="45">
        <f>Juin!AH12</f>
        <v>0</v>
      </c>
      <c r="I41" s="45">
        <f>Juillet!AH12</f>
        <v>0</v>
      </c>
      <c r="J41" s="45">
        <f>Août!AH12</f>
        <v>0</v>
      </c>
      <c r="K41" s="45">
        <f>Septembre!AH12</f>
        <v>0</v>
      </c>
      <c r="L41" s="45">
        <f>Octobre!AH12</f>
        <v>0</v>
      </c>
      <c r="M41" s="45">
        <f>Novembre!AH12</f>
        <v>0</v>
      </c>
      <c r="N41" s="45">
        <f>Décembre!AH12</f>
        <v>0</v>
      </c>
    </row>
    <row r="42" spans="1:14" x14ac:dyDescent="0.25">
      <c r="A42" s="50" t="str">
        <f>Paramètre!A21</f>
        <v>A7</v>
      </c>
      <c r="B42" s="50"/>
      <c r="C42" s="45">
        <f>Janvier!AH13</f>
        <v>0</v>
      </c>
      <c r="D42" s="45">
        <f>Février!AH13</f>
        <v>0</v>
      </c>
      <c r="E42" s="45">
        <f>Février!AH13</f>
        <v>0</v>
      </c>
      <c r="F42" s="45">
        <f>Avril!AH13</f>
        <v>0</v>
      </c>
      <c r="G42" s="45">
        <f>Mai!AH13</f>
        <v>0</v>
      </c>
      <c r="H42" s="45">
        <f>Juin!AH13</f>
        <v>0</v>
      </c>
      <c r="I42" s="45">
        <f>Juillet!AH13</f>
        <v>0</v>
      </c>
      <c r="J42" s="45">
        <f>Août!AH13</f>
        <v>0</v>
      </c>
      <c r="K42" s="45">
        <f>Septembre!AH13</f>
        <v>0</v>
      </c>
      <c r="L42" s="45">
        <f>Octobre!AH13</f>
        <v>0</v>
      </c>
      <c r="M42" s="45">
        <f>Novembre!AH13</f>
        <v>0</v>
      </c>
      <c r="N42" s="45">
        <f>Décembre!AH13</f>
        <v>0</v>
      </c>
    </row>
    <row r="43" spans="1:14" x14ac:dyDescent="0.25">
      <c r="A43" s="50" t="str">
        <f>Paramètre!A22</f>
        <v>A8</v>
      </c>
      <c r="B43" s="50"/>
      <c r="C43" s="45">
        <f>Janvier!AH14</f>
        <v>0</v>
      </c>
      <c r="D43" s="45">
        <f>Février!AH14</f>
        <v>0</v>
      </c>
      <c r="E43" s="45">
        <f>Février!AH14</f>
        <v>0</v>
      </c>
      <c r="F43" s="45">
        <f>Avril!AH14</f>
        <v>0</v>
      </c>
      <c r="G43" s="45">
        <f>Mai!AH14</f>
        <v>0</v>
      </c>
      <c r="H43" s="45">
        <f>Juin!AH14</f>
        <v>0</v>
      </c>
      <c r="I43" s="45">
        <f>Juillet!AH14</f>
        <v>0</v>
      </c>
      <c r="J43" s="45">
        <f>Août!AH14</f>
        <v>0</v>
      </c>
      <c r="K43" s="45">
        <f>Septembre!AH14</f>
        <v>0</v>
      </c>
      <c r="L43" s="45">
        <f>Octobre!AH14</f>
        <v>0</v>
      </c>
      <c r="M43" s="45">
        <f>Novembre!AH14</f>
        <v>0</v>
      </c>
      <c r="N43" s="45">
        <f>Décembre!AH14</f>
        <v>0</v>
      </c>
    </row>
    <row r="44" spans="1:14" x14ac:dyDescent="0.25">
      <c r="A44" s="50" t="str">
        <f>Paramètre!A23</f>
        <v>A9</v>
      </c>
      <c r="B44" s="50"/>
      <c r="C44" s="45">
        <f>Janvier!AH15</f>
        <v>0</v>
      </c>
      <c r="D44" s="45">
        <f>Février!AH15</f>
        <v>0</v>
      </c>
      <c r="E44" s="45">
        <f>Février!AH15</f>
        <v>0</v>
      </c>
      <c r="F44" s="45">
        <f>Avril!AH15</f>
        <v>0</v>
      </c>
      <c r="G44" s="45">
        <f>Mai!AH15</f>
        <v>0</v>
      </c>
      <c r="H44" s="45">
        <f>Juin!AH15</f>
        <v>0</v>
      </c>
      <c r="I44" s="45">
        <f>Juillet!AH15</f>
        <v>0</v>
      </c>
      <c r="J44" s="45">
        <f>Août!AH15</f>
        <v>0</v>
      </c>
      <c r="K44" s="45">
        <f>Septembre!AH15</f>
        <v>0</v>
      </c>
      <c r="L44" s="45">
        <f>Octobre!AH15</f>
        <v>0</v>
      </c>
      <c r="M44" s="45">
        <f>Novembre!AH15</f>
        <v>0</v>
      </c>
      <c r="N44" s="45">
        <f>Décembre!AH15</f>
        <v>0</v>
      </c>
    </row>
    <row r="45" spans="1:14" x14ac:dyDescent="0.25">
      <c r="A45" s="50" t="str">
        <f>Paramètre!A24</f>
        <v>A10</v>
      </c>
      <c r="B45" s="50"/>
      <c r="C45" s="45">
        <f>Janvier!AH16</f>
        <v>0</v>
      </c>
      <c r="D45" s="45">
        <f>Février!AH16</f>
        <v>0</v>
      </c>
      <c r="E45" s="45">
        <f>Février!AH16</f>
        <v>0</v>
      </c>
      <c r="F45" s="45">
        <f>Avril!AH16</f>
        <v>0</v>
      </c>
      <c r="G45" s="45">
        <f>Mai!AH16</f>
        <v>0</v>
      </c>
      <c r="H45" s="45">
        <f>Juin!AH16</f>
        <v>0</v>
      </c>
      <c r="I45" s="45">
        <f>Juillet!AH16</f>
        <v>0</v>
      </c>
      <c r="J45" s="45">
        <f>Août!AH16</f>
        <v>0</v>
      </c>
      <c r="K45" s="45">
        <f>Septembre!AH16</f>
        <v>0</v>
      </c>
      <c r="L45" s="45">
        <f>Octobre!AH16</f>
        <v>0</v>
      </c>
      <c r="M45" s="45">
        <f>Novembre!AH16</f>
        <v>0</v>
      </c>
      <c r="N45" s="45">
        <f>Décembre!AH16</f>
        <v>0</v>
      </c>
    </row>
    <row r="46" spans="1:14" x14ac:dyDescent="0.25">
      <c r="A46" s="50" t="str">
        <f>Paramètre!A25</f>
        <v>A11</v>
      </c>
      <c r="B46" s="50"/>
      <c r="C46" s="45">
        <f>Janvier!AH17</f>
        <v>0</v>
      </c>
      <c r="D46" s="45">
        <f>Février!AH17</f>
        <v>0</v>
      </c>
      <c r="E46" s="45">
        <f>Février!AH17</f>
        <v>0</v>
      </c>
      <c r="F46" s="45">
        <f>Avril!AH17</f>
        <v>0</v>
      </c>
      <c r="G46" s="45">
        <f>Mai!AH17</f>
        <v>0</v>
      </c>
      <c r="H46" s="45">
        <f>Juin!AH17</f>
        <v>0</v>
      </c>
      <c r="I46" s="45">
        <f>Juillet!AH17</f>
        <v>0</v>
      </c>
      <c r="J46" s="45">
        <f>Août!AH17</f>
        <v>0</v>
      </c>
      <c r="K46" s="45">
        <f>Septembre!AH17</f>
        <v>0</v>
      </c>
      <c r="L46" s="45">
        <f>Octobre!AH17</f>
        <v>0</v>
      </c>
      <c r="M46" s="45">
        <f>Novembre!AH17</f>
        <v>0</v>
      </c>
      <c r="N46" s="45">
        <f>Décembre!AH17</f>
        <v>0</v>
      </c>
    </row>
    <row r="47" spans="1:14" x14ac:dyDescent="0.25">
      <c r="A47" s="50" t="str">
        <f>Paramètre!A26</f>
        <v>A12</v>
      </c>
      <c r="B47" s="50"/>
      <c r="C47" s="45">
        <f>Janvier!AH18</f>
        <v>0</v>
      </c>
      <c r="D47" s="45">
        <f>Février!AH18</f>
        <v>0</v>
      </c>
      <c r="E47" s="45">
        <f>Février!AH18</f>
        <v>0</v>
      </c>
      <c r="F47" s="45">
        <f>Avril!AH18</f>
        <v>0</v>
      </c>
      <c r="G47" s="45">
        <f>Mai!AH18</f>
        <v>0</v>
      </c>
      <c r="H47" s="45">
        <f>Juin!AH18</f>
        <v>0</v>
      </c>
      <c r="I47" s="45">
        <f>Juillet!AH18</f>
        <v>0</v>
      </c>
      <c r="J47" s="45">
        <f>Août!AH18</f>
        <v>0</v>
      </c>
      <c r="K47" s="45">
        <f>Septembre!AH18</f>
        <v>0</v>
      </c>
      <c r="L47" s="45">
        <f>Octobre!AH18</f>
        <v>0</v>
      </c>
      <c r="M47" s="45">
        <f>Novembre!AH18</f>
        <v>0</v>
      </c>
      <c r="N47" s="45">
        <f>Décembre!AH18</f>
        <v>0</v>
      </c>
    </row>
    <row r="48" spans="1:14" x14ac:dyDescent="0.25">
      <c r="A48" s="50" t="str">
        <f>Paramètre!A27</f>
        <v>A13</v>
      </c>
      <c r="B48" s="50"/>
      <c r="C48" s="45">
        <f>Janvier!AH19</f>
        <v>0</v>
      </c>
      <c r="D48" s="45">
        <f>Février!AH19</f>
        <v>0</v>
      </c>
      <c r="E48" s="45">
        <f>Février!AH19</f>
        <v>0</v>
      </c>
      <c r="F48" s="45">
        <f>Avril!AH19</f>
        <v>1</v>
      </c>
      <c r="G48" s="45">
        <f>Mai!AH19</f>
        <v>0</v>
      </c>
      <c r="H48" s="45">
        <f>Juin!AH19</f>
        <v>0</v>
      </c>
      <c r="I48" s="45">
        <f>Juillet!AH19</f>
        <v>0</v>
      </c>
      <c r="J48" s="45">
        <f>Août!AH19</f>
        <v>0</v>
      </c>
      <c r="K48" s="45">
        <f>Septembre!AH19</f>
        <v>0</v>
      </c>
      <c r="L48" s="45">
        <f>Octobre!AH19</f>
        <v>0</v>
      </c>
      <c r="M48" s="45">
        <f>Novembre!AH19</f>
        <v>0</v>
      </c>
      <c r="N48" s="45">
        <f>Décembre!AH19</f>
        <v>0</v>
      </c>
    </row>
    <row r="49" spans="1:14" x14ac:dyDescent="0.25">
      <c r="A49" s="50" t="str">
        <f>Paramètre!A28</f>
        <v>A14</v>
      </c>
      <c r="B49" s="50"/>
      <c r="C49" s="45">
        <f>Janvier!AH20</f>
        <v>0</v>
      </c>
      <c r="D49" s="45">
        <f>Février!AH20</f>
        <v>0</v>
      </c>
      <c r="E49" s="45">
        <f>Février!AH20</f>
        <v>0</v>
      </c>
      <c r="F49" s="45">
        <f>Avril!AH20</f>
        <v>0</v>
      </c>
      <c r="G49" s="45">
        <f>Mai!AH20</f>
        <v>0</v>
      </c>
      <c r="H49" s="45">
        <f>Juin!AH20</f>
        <v>0</v>
      </c>
      <c r="I49" s="45">
        <f>Juillet!AH20</f>
        <v>0</v>
      </c>
      <c r="J49" s="45">
        <f>Août!AH20</f>
        <v>0</v>
      </c>
      <c r="K49" s="45">
        <f>Septembre!AH20</f>
        <v>0</v>
      </c>
      <c r="L49" s="45">
        <f>Octobre!AH20</f>
        <v>0</v>
      </c>
      <c r="M49" s="45">
        <f>Novembre!AH20</f>
        <v>0</v>
      </c>
      <c r="N49" s="45">
        <f>Décembre!AH20</f>
        <v>0</v>
      </c>
    </row>
    <row r="50" spans="1:14" x14ac:dyDescent="0.25">
      <c r="A50" s="50" t="str">
        <f>Paramètre!A29</f>
        <v>A15</v>
      </c>
      <c r="B50" s="50"/>
      <c r="C50" s="45">
        <f>Janvier!AH21</f>
        <v>0</v>
      </c>
      <c r="D50" s="45">
        <f>Février!AH21</f>
        <v>0</v>
      </c>
      <c r="E50" s="45">
        <f>Février!AH21</f>
        <v>0</v>
      </c>
      <c r="F50" s="45">
        <f>Avril!AH21</f>
        <v>0</v>
      </c>
      <c r="G50" s="45">
        <f>Mai!AH21</f>
        <v>0</v>
      </c>
      <c r="H50" s="45">
        <f>Juin!AH21</f>
        <v>0</v>
      </c>
      <c r="I50" s="45">
        <f>Juillet!AH21</f>
        <v>0</v>
      </c>
      <c r="J50" s="45">
        <f>Août!AH21</f>
        <v>0</v>
      </c>
      <c r="K50" s="45">
        <f>Septembre!AH21</f>
        <v>0</v>
      </c>
      <c r="L50" s="45">
        <f>Octobre!AH21</f>
        <v>0</v>
      </c>
      <c r="M50" s="45">
        <f>Novembre!AH21</f>
        <v>0</v>
      </c>
      <c r="N50" s="45">
        <f>Décembre!AH21</f>
        <v>0</v>
      </c>
    </row>
    <row r="51" spans="1:14" x14ac:dyDescent="0.25">
      <c r="A51" s="50" t="str">
        <f>Paramètre!A30</f>
        <v>A16</v>
      </c>
      <c r="B51" s="50"/>
      <c r="C51" s="45">
        <f>Janvier!AH22</f>
        <v>0</v>
      </c>
      <c r="D51" s="45">
        <f>Février!AH22</f>
        <v>0</v>
      </c>
      <c r="E51" s="45">
        <f>Février!AH22</f>
        <v>0</v>
      </c>
      <c r="F51" s="45">
        <f>Avril!AH22</f>
        <v>0</v>
      </c>
      <c r="G51" s="45">
        <f>Mai!AH22</f>
        <v>0</v>
      </c>
      <c r="H51" s="45">
        <f>Juin!AH22</f>
        <v>0</v>
      </c>
      <c r="I51" s="45">
        <f>Juillet!AH22</f>
        <v>0</v>
      </c>
      <c r="J51" s="45">
        <f>Août!AH22</f>
        <v>0</v>
      </c>
      <c r="K51" s="45">
        <f>Septembre!AH22</f>
        <v>0</v>
      </c>
      <c r="L51" s="45">
        <f>Octobre!AH22</f>
        <v>0</v>
      </c>
      <c r="M51" s="45">
        <f>Novembre!AH22</f>
        <v>0</v>
      </c>
      <c r="N51" s="45">
        <f>Décembre!AH22</f>
        <v>0</v>
      </c>
    </row>
    <row r="52" spans="1:14" x14ac:dyDescent="0.25">
      <c r="A52" s="50" t="str">
        <f>Paramètre!A31</f>
        <v>A17</v>
      </c>
      <c r="B52" s="50"/>
      <c r="C52" s="45">
        <f>Janvier!AH23</f>
        <v>0</v>
      </c>
      <c r="D52" s="45">
        <f>Février!AH23</f>
        <v>0</v>
      </c>
      <c r="E52" s="45">
        <f>Février!AH23</f>
        <v>0</v>
      </c>
      <c r="F52" s="45">
        <f>Avril!AH23</f>
        <v>0</v>
      </c>
      <c r="G52" s="45">
        <f>Mai!AH23</f>
        <v>0</v>
      </c>
      <c r="H52" s="45">
        <f>Juin!AH23</f>
        <v>0</v>
      </c>
      <c r="I52" s="45">
        <f>Juillet!AH23</f>
        <v>0</v>
      </c>
      <c r="J52" s="45">
        <f>Août!AH23</f>
        <v>0</v>
      </c>
      <c r="K52" s="45">
        <f>Septembre!AH23</f>
        <v>0</v>
      </c>
      <c r="L52" s="45">
        <f>Octobre!AH23</f>
        <v>0</v>
      </c>
      <c r="M52" s="45">
        <f>Novembre!AH23</f>
        <v>0</v>
      </c>
      <c r="N52" s="45">
        <f>Décembre!AH23</f>
        <v>0</v>
      </c>
    </row>
    <row r="53" spans="1:14" x14ac:dyDescent="0.25">
      <c r="A53" s="50" t="str">
        <f>Paramètre!A32</f>
        <v>A18</v>
      </c>
      <c r="B53" s="50"/>
      <c r="C53" s="45">
        <f>Janvier!AH24</f>
        <v>0</v>
      </c>
      <c r="D53" s="45">
        <f>Février!AH24</f>
        <v>0</v>
      </c>
      <c r="E53" s="45">
        <f>Février!AH24</f>
        <v>0</v>
      </c>
      <c r="F53" s="45">
        <f>Avril!AH24</f>
        <v>1</v>
      </c>
      <c r="G53" s="45">
        <f>Mai!AH24</f>
        <v>0</v>
      </c>
      <c r="H53" s="45">
        <f>Juin!AH24</f>
        <v>0</v>
      </c>
      <c r="I53" s="45">
        <f>Juillet!AH24</f>
        <v>0</v>
      </c>
      <c r="J53" s="45">
        <f>Août!AH24</f>
        <v>0</v>
      </c>
      <c r="K53" s="45">
        <f>Septembre!AH24</f>
        <v>0</v>
      </c>
      <c r="L53" s="45">
        <f>Octobre!AH24</f>
        <v>0</v>
      </c>
      <c r="M53" s="45">
        <f>Novembre!AH24</f>
        <v>0</v>
      </c>
      <c r="N53" s="45">
        <f>Décembre!AH24</f>
        <v>0</v>
      </c>
    </row>
    <row r="54" spans="1:14" x14ac:dyDescent="0.25">
      <c r="A54" s="50" t="str">
        <f>Paramètre!A33</f>
        <v>A19</v>
      </c>
      <c r="B54" s="50"/>
      <c r="C54" s="45">
        <f>Janvier!AH25</f>
        <v>0</v>
      </c>
      <c r="D54" s="45">
        <f>Février!AH25</f>
        <v>0</v>
      </c>
      <c r="E54" s="45">
        <f>Février!AH25</f>
        <v>0</v>
      </c>
      <c r="F54" s="45">
        <f>Avril!AH25</f>
        <v>0</v>
      </c>
      <c r="G54" s="45">
        <f>Mai!AH25</f>
        <v>0</v>
      </c>
      <c r="H54" s="45">
        <f>Juin!AH25</f>
        <v>0</v>
      </c>
      <c r="I54" s="45">
        <f>Juillet!AH25</f>
        <v>0</v>
      </c>
      <c r="J54" s="45">
        <f>Août!AH25</f>
        <v>0</v>
      </c>
      <c r="K54" s="45">
        <f>Septembre!AH25</f>
        <v>0</v>
      </c>
      <c r="L54" s="45">
        <f>Octobre!AH25</f>
        <v>0</v>
      </c>
      <c r="M54" s="45">
        <f>Novembre!AH25</f>
        <v>0</v>
      </c>
      <c r="N54" s="45">
        <f>Décembre!AH25</f>
        <v>0</v>
      </c>
    </row>
    <row r="55" spans="1:14" x14ac:dyDescent="0.25">
      <c r="A55" s="50" t="str">
        <f>Paramètre!A34</f>
        <v>A20</v>
      </c>
      <c r="B55" s="50"/>
      <c r="C55" s="45">
        <f>Janvier!AH26</f>
        <v>0</v>
      </c>
      <c r="D55" s="45">
        <f>Février!AH26</f>
        <v>0</v>
      </c>
      <c r="E55" s="45">
        <f>Février!AH26</f>
        <v>0</v>
      </c>
      <c r="F55" s="45">
        <f>Avril!AH26</f>
        <v>0</v>
      </c>
      <c r="G55" s="45">
        <f>Mai!AH26</f>
        <v>0</v>
      </c>
      <c r="H55" s="45">
        <f>Juin!AH26</f>
        <v>0</v>
      </c>
      <c r="I55" s="45">
        <f>Juillet!AH26</f>
        <v>0</v>
      </c>
      <c r="J55" s="45">
        <f>Août!AH26</f>
        <v>0</v>
      </c>
      <c r="K55" s="45">
        <f>Septembre!AH26</f>
        <v>0</v>
      </c>
      <c r="L55" s="45">
        <f>Octobre!AH26</f>
        <v>0</v>
      </c>
      <c r="M55" s="45">
        <f>Novembre!AH26</f>
        <v>0</v>
      </c>
      <c r="N55" s="45">
        <f>Décembre!AH26</f>
        <v>0</v>
      </c>
    </row>
    <row r="56" spans="1:14" x14ac:dyDescent="0.25">
      <c r="A56" s="50" t="str">
        <f>Paramètre!A35</f>
        <v>A21</v>
      </c>
      <c r="B56" s="50"/>
      <c r="C56" s="45">
        <f>Janvier!AH27</f>
        <v>0</v>
      </c>
      <c r="D56" s="45">
        <f>Février!AH27</f>
        <v>0</v>
      </c>
      <c r="E56" s="45">
        <f>Février!AH27</f>
        <v>0</v>
      </c>
      <c r="F56" s="45">
        <f>Avril!AH27</f>
        <v>0</v>
      </c>
      <c r="G56" s="45">
        <f>Mai!AH27</f>
        <v>0</v>
      </c>
      <c r="H56" s="45">
        <f>Juin!AH27</f>
        <v>0</v>
      </c>
      <c r="I56" s="45">
        <f>Juillet!AH27</f>
        <v>0</v>
      </c>
      <c r="J56" s="45">
        <f>Août!AH27</f>
        <v>0</v>
      </c>
      <c r="K56" s="45">
        <f>Septembre!AH27</f>
        <v>0</v>
      </c>
      <c r="L56" s="45">
        <f>Octobre!AH27</f>
        <v>0</v>
      </c>
      <c r="M56" s="45">
        <f>Novembre!AH27</f>
        <v>0</v>
      </c>
      <c r="N56" s="45">
        <f>Décembre!AH27</f>
        <v>0</v>
      </c>
    </row>
    <row r="57" spans="1:14" x14ac:dyDescent="0.25">
      <c r="A57" s="50" t="str">
        <f>Paramètre!A36</f>
        <v>A22</v>
      </c>
      <c r="B57" s="50"/>
      <c r="C57" s="45">
        <f>Janvier!AH28</f>
        <v>0</v>
      </c>
      <c r="D57" s="45">
        <f>Février!AH28</f>
        <v>0</v>
      </c>
      <c r="E57" s="45">
        <f>Février!AH28</f>
        <v>0</v>
      </c>
      <c r="F57" s="45">
        <f>Avril!AH28</f>
        <v>7</v>
      </c>
      <c r="G57" s="45">
        <f>Mai!AH28</f>
        <v>0</v>
      </c>
      <c r="H57" s="45">
        <f>Juin!AH28</f>
        <v>0</v>
      </c>
      <c r="I57" s="45">
        <f>Juillet!AH28</f>
        <v>0</v>
      </c>
      <c r="J57" s="45">
        <f>Août!AH28</f>
        <v>0</v>
      </c>
      <c r="K57" s="45">
        <f>Septembre!AH28</f>
        <v>0</v>
      </c>
      <c r="L57" s="45">
        <f>Octobre!AH28</f>
        <v>0</v>
      </c>
      <c r="M57" s="45">
        <f>Novembre!AH28</f>
        <v>0</v>
      </c>
      <c r="N57" s="45">
        <f>Décembre!AH28</f>
        <v>0</v>
      </c>
    </row>
    <row r="58" spans="1:14" x14ac:dyDescent="0.25">
      <c r="A58" s="50" t="str">
        <f>Paramètre!A37</f>
        <v>A23</v>
      </c>
      <c r="B58" s="50"/>
      <c r="C58" s="45">
        <f>Janvier!AH29</f>
        <v>0</v>
      </c>
      <c r="D58" s="45">
        <f>Février!AH29</f>
        <v>0</v>
      </c>
      <c r="E58" s="45">
        <f>Février!AH29</f>
        <v>0</v>
      </c>
      <c r="F58" s="45">
        <f>Avril!AH29</f>
        <v>1</v>
      </c>
      <c r="G58" s="45">
        <f>Mai!AH29</f>
        <v>0</v>
      </c>
      <c r="H58" s="45">
        <f>Juin!AH29</f>
        <v>0</v>
      </c>
      <c r="I58" s="45">
        <f>Juillet!AH29</f>
        <v>0</v>
      </c>
      <c r="J58" s="45">
        <f>Août!AH29</f>
        <v>0</v>
      </c>
      <c r="K58" s="45">
        <f>Septembre!AH29</f>
        <v>0</v>
      </c>
      <c r="L58" s="45">
        <f>Octobre!AH29</f>
        <v>0</v>
      </c>
      <c r="M58" s="45">
        <f>Novembre!AH29</f>
        <v>0</v>
      </c>
      <c r="N58" s="45">
        <f>Décembre!AH29</f>
        <v>0</v>
      </c>
    </row>
    <row r="59" spans="1:14" x14ac:dyDescent="0.25">
      <c r="A59" s="50" t="str">
        <f>Paramètre!A38</f>
        <v>A24</v>
      </c>
      <c r="B59" s="50"/>
      <c r="C59" s="45">
        <f>Janvier!AH30</f>
        <v>0</v>
      </c>
      <c r="D59" s="45">
        <f>Février!AH30</f>
        <v>0</v>
      </c>
      <c r="E59" s="45">
        <f>Février!AH30</f>
        <v>0</v>
      </c>
      <c r="F59" s="45">
        <f>Avril!AH30</f>
        <v>0</v>
      </c>
      <c r="G59" s="45">
        <f>Mai!AH30</f>
        <v>0</v>
      </c>
      <c r="H59" s="45">
        <f>Juin!AH30</f>
        <v>0</v>
      </c>
      <c r="I59" s="45">
        <f>Juillet!AH30</f>
        <v>0</v>
      </c>
      <c r="J59" s="45">
        <f>Août!AH30</f>
        <v>0</v>
      </c>
      <c r="K59" s="45">
        <f>Septembre!AH30</f>
        <v>0</v>
      </c>
      <c r="L59" s="45">
        <f>Octobre!AH30</f>
        <v>0</v>
      </c>
      <c r="M59" s="45">
        <f>Novembre!AH30</f>
        <v>0</v>
      </c>
      <c r="N59" s="45">
        <f>Décembre!AH30</f>
        <v>0</v>
      </c>
    </row>
    <row r="60" spans="1:14" x14ac:dyDescent="0.25">
      <c r="A60" s="50" t="str">
        <f>Paramètre!A39</f>
        <v>A25</v>
      </c>
      <c r="B60" s="50"/>
      <c r="C60" s="45">
        <f>Janvier!AH31</f>
        <v>0</v>
      </c>
      <c r="D60" s="45">
        <f>Février!AH31</f>
        <v>0</v>
      </c>
      <c r="E60" s="45">
        <f>Février!AH31</f>
        <v>0</v>
      </c>
      <c r="F60" s="45">
        <f>Avril!AH31</f>
        <v>0</v>
      </c>
      <c r="G60" s="45">
        <f>Mai!AH31</f>
        <v>0</v>
      </c>
      <c r="H60" s="45">
        <f>Juin!AH31</f>
        <v>0</v>
      </c>
      <c r="I60" s="45">
        <f>Juillet!AH31</f>
        <v>0</v>
      </c>
      <c r="J60" s="45">
        <f>Août!AH31</f>
        <v>0</v>
      </c>
      <c r="K60" s="45">
        <f>Septembre!AH31</f>
        <v>0</v>
      </c>
      <c r="L60" s="45">
        <f>Octobre!AH31</f>
        <v>0</v>
      </c>
      <c r="M60" s="45">
        <f>Novembre!AH31</f>
        <v>0</v>
      </c>
      <c r="N60" s="45">
        <f>Décembre!AH31</f>
        <v>0</v>
      </c>
    </row>
    <row r="61" spans="1:14" x14ac:dyDescent="0.25">
      <c r="A61" s="50" t="str">
        <f>Paramètre!A40</f>
        <v>A26</v>
      </c>
      <c r="B61" s="50"/>
      <c r="C61" s="45">
        <f>Janvier!AH32</f>
        <v>0</v>
      </c>
      <c r="D61" s="45">
        <f>Février!AH32</f>
        <v>0</v>
      </c>
      <c r="E61" s="45">
        <f>Février!AH32</f>
        <v>0</v>
      </c>
      <c r="F61" s="45">
        <f>Avril!AH32</f>
        <v>2</v>
      </c>
      <c r="G61" s="45">
        <f>Mai!AH32</f>
        <v>0</v>
      </c>
      <c r="H61" s="45">
        <f>Juin!AH32</f>
        <v>0</v>
      </c>
      <c r="I61" s="45">
        <f>Juillet!AH32</f>
        <v>0</v>
      </c>
      <c r="J61" s="45">
        <f>Août!AH32</f>
        <v>0</v>
      </c>
      <c r="K61" s="45">
        <f>Septembre!AH32</f>
        <v>0</v>
      </c>
      <c r="L61" s="45">
        <f>Octobre!AH32</f>
        <v>0</v>
      </c>
      <c r="M61" s="45">
        <f>Novembre!AH32</f>
        <v>0</v>
      </c>
      <c r="N61" s="45">
        <f>Décembre!AH32</f>
        <v>0</v>
      </c>
    </row>
    <row r="62" spans="1:14" x14ac:dyDescent="0.25">
      <c r="A62" s="50" t="str">
        <f>Paramètre!A41</f>
        <v>A27</v>
      </c>
      <c r="B62" s="50"/>
      <c r="C62" s="45">
        <f>Janvier!AH33</f>
        <v>0</v>
      </c>
      <c r="D62" s="45">
        <f>Février!AH33</f>
        <v>0</v>
      </c>
      <c r="E62" s="45">
        <f>Février!AH33</f>
        <v>0</v>
      </c>
      <c r="F62" s="45">
        <f>Avril!AH33</f>
        <v>3</v>
      </c>
      <c r="G62" s="45">
        <f>Mai!AH33</f>
        <v>0</v>
      </c>
      <c r="H62" s="45">
        <f>Juin!AH33</f>
        <v>0</v>
      </c>
      <c r="I62" s="45">
        <f>Juillet!AH33</f>
        <v>0</v>
      </c>
      <c r="J62" s="45">
        <f>Août!AH33</f>
        <v>0</v>
      </c>
      <c r="K62" s="45">
        <f>Septembre!AH33</f>
        <v>0</v>
      </c>
      <c r="L62" s="45">
        <f>Octobre!AH33</f>
        <v>0</v>
      </c>
      <c r="M62" s="45">
        <f>Novembre!AH33</f>
        <v>0</v>
      </c>
      <c r="N62" s="45">
        <f>Décembre!AH33</f>
        <v>0</v>
      </c>
    </row>
    <row r="63" spans="1:14" x14ac:dyDescent="0.25">
      <c r="A63" s="50" t="str">
        <f>Paramètre!A42</f>
        <v>A28</v>
      </c>
      <c r="B63" s="50"/>
      <c r="C63" s="45">
        <f>Janvier!AH34</f>
        <v>0</v>
      </c>
      <c r="D63" s="45">
        <f>Février!AH34</f>
        <v>0</v>
      </c>
      <c r="E63" s="45">
        <f>Février!AH34</f>
        <v>0</v>
      </c>
      <c r="F63" s="45">
        <f>Avril!AH34</f>
        <v>0</v>
      </c>
      <c r="G63" s="45">
        <f>Mai!AH34</f>
        <v>0</v>
      </c>
      <c r="H63" s="45">
        <f>Juin!AH34</f>
        <v>0</v>
      </c>
      <c r="I63" s="45">
        <f>Juillet!AH34</f>
        <v>0</v>
      </c>
      <c r="J63" s="45">
        <f>Août!AH34</f>
        <v>0</v>
      </c>
      <c r="K63" s="45">
        <f>Septembre!AH34</f>
        <v>0</v>
      </c>
      <c r="L63" s="45">
        <f>Octobre!AH34</f>
        <v>0</v>
      </c>
      <c r="M63" s="45">
        <f>Novembre!AH34</f>
        <v>0</v>
      </c>
      <c r="N63" s="45">
        <f>Décembre!AH34</f>
        <v>0</v>
      </c>
    </row>
    <row r="64" spans="1:14" x14ac:dyDescent="0.25">
      <c r="A64" s="50" t="str">
        <f>Paramètre!A43</f>
        <v>A29</v>
      </c>
      <c r="B64" s="50"/>
      <c r="C64" s="45">
        <f>Janvier!AH35</f>
        <v>0</v>
      </c>
      <c r="D64" s="45">
        <f>Février!AH35</f>
        <v>0</v>
      </c>
      <c r="E64" s="45">
        <f>Février!AH35</f>
        <v>0</v>
      </c>
      <c r="F64" s="45">
        <f>Avril!AH35</f>
        <v>0</v>
      </c>
      <c r="G64" s="45">
        <f>Mai!AH35</f>
        <v>0</v>
      </c>
      <c r="H64" s="45">
        <f>Juin!AH35</f>
        <v>0</v>
      </c>
      <c r="I64" s="45">
        <f>Juillet!AH35</f>
        <v>0</v>
      </c>
      <c r="J64" s="45">
        <f>Août!AH35</f>
        <v>0</v>
      </c>
      <c r="K64" s="45">
        <f>Septembre!AH35</f>
        <v>0</v>
      </c>
      <c r="L64" s="45">
        <f>Octobre!AH35</f>
        <v>0</v>
      </c>
      <c r="M64" s="45">
        <f>Novembre!AH35</f>
        <v>0</v>
      </c>
      <c r="N64" s="45">
        <f>Décembre!AH35</f>
        <v>0</v>
      </c>
    </row>
    <row r="65" spans="1:14" x14ac:dyDescent="0.25">
      <c r="A65" s="50" t="str">
        <f>Paramètre!A44</f>
        <v>A30</v>
      </c>
      <c r="B65" s="50"/>
      <c r="C65" s="45">
        <f>Janvier!AH36</f>
        <v>0</v>
      </c>
      <c r="D65" s="45">
        <f>Février!AH36</f>
        <v>0</v>
      </c>
      <c r="E65" s="45">
        <f>Février!AH36</f>
        <v>0</v>
      </c>
      <c r="F65" s="45">
        <f>Avril!AH36</f>
        <v>0</v>
      </c>
      <c r="G65" s="45">
        <f>Mai!AH36</f>
        <v>0</v>
      </c>
      <c r="H65" s="45">
        <f>Juin!AH36</f>
        <v>0</v>
      </c>
      <c r="I65" s="45">
        <f>Juillet!AH36</f>
        <v>0</v>
      </c>
      <c r="J65" s="45">
        <f>Août!AH36</f>
        <v>0</v>
      </c>
      <c r="K65" s="45">
        <f>Septembre!AH36</f>
        <v>0</v>
      </c>
      <c r="L65" s="45">
        <f>Octobre!AH36</f>
        <v>0</v>
      </c>
      <c r="M65" s="45">
        <f>Novembre!AH36</f>
        <v>0</v>
      </c>
      <c r="N65" s="45">
        <f>Décembre!AH36</f>
        <v>0</v>
      </c>
    </row>
    <row r="66" spans="1:14" x14ac:dyDescent="0.25">
      <c r="A66" s="51"/>
      <c r="B66" s="51"/>
    </row>
    <row r="67" spans="1:14" x14ac:dyDescent="0.25">
      <c r="A67" s="51"/>
      <c r="B67" s="51"/>
    </row>
    <row r="68" spans="1:14" x14ac:dyDescent="0.25">
      <c r="A68" s="51"/>
      <c r="B68" s="51"/>
    </row>
    <row r="69" spans="1:14" x14ac:dyDescent="0.25">
      <c r="A69" s="51"/>
      <c r="B69" s="51"/>
    </row>
    <row r="70" spans="1:14" x14ac:dyDescent="0.25">
      <c r="A70" s="51"/>
      <c r="B70" s="51"/>
    </row>
    <row r="71" spans="1:14" x14ac:dyDescent="0.25">
      <c r="A71" s="51"/>
      <c r="B71" s="51"/>
    </row>
    <row r="72" spans="1:14" x14ac:dyDescent="0.25">
      <c r="A72" s="51"/>
      <c r="B72" s="51"/>
    </row>
    <row r="73" spans="1:14" x14ac:dyDescent="0.25">
      <c r="A73" s="51"/>
      <c r="B73" s="51"/>
    </row>
    <row r="74" spans="1:14" x14ac:dyDescent="0.25">
      <c r="A74" s="51"/>
      <c r="B74" s="51"/>
    </row>
    <row r="75" spans="1:14" x14ac:dyDescent="0.25">
      <c r="A75" s="51"/>
      <c r="B75" s="51"/>
    </row>
    <row r="76" spans="1:14" x14ac:dyDescent="0.25">
      <c r="A76" s="51"/>
      <c r="B76" s="51"/>
    </row>
    <row r="77" spans="1:14" x14ac:dyDescent="0.25">
      <c r="A77" s="51"/>
      <c r="B77" s="51"/>
    </row>
  </sheetData>
  <mergeCells count="47">
    <mergeCell ref="A73:B73"/>
    <mergeCell ref="A74:B74"/>
    <mergeCell ref="A75:B75"/>
    <mergeCell ref="A76:B76"/>
    <mergeCell ref="A77:B77"/>
    <mergeCell ref="A72:B72"/>
    <mergeCell ref="A61:B61"/>
    <mergeCell ref="A62:B62"/>
    <mergeCell ref="A63:B63"/>
    <mergeCell ref="A64:B64"/>
    <mergeCell ref="A65:B65"/>
    <mergeCell ref="A66:B66"/>
    <mergeCell ref="A67:B67"/>
    <mergeCell ref="A68:B68"/>
    <mergeCell ref="A69:B69"/>
    <mergeCell ref="A70:B70"/>
    <mergeCell ref="A71:B71"/>
    <mergeCell ref="A60:B60"/>
    <mergeCell ref="A49:B49"/>
    <mergeCell ref="A50:B50"/>
    <mergeCell ref="A51:B51"/>
    <mergeCell ref="A52:B52"/>
    <mergeCell ref="A53:B53"/>
    <mergeCell ref="A54:B54"/>
    <mergeCell ref="A55:B55"/>
    <mergeCell ref="A56:B56"/>
    <mergeCell ref="A57:B57"/>
    <mergeCell ref="A58:B58"/>
    <mergeCell ref="A59:B59"/>
    <mergeCell ref="A48:B48"/>
    <mergeCell ref="A37:B37"/>
    <mergeCell ref="A38:B38"/>
    <mergeCell ref="A39:B39"/>
    <mergeCell ref="A40:B40"/>
    <mergeCell ref="A41:B41"/>
    <mergeCell ref="A42:B42"/>
    <mergeCell ref="A43:B43"/>
    <mergeCell ref="A44:B44"/>
    <mergeCell ref="A45:B45"/>
    <mergeCell ref="A46:B46"/>
    <mergeCell ref="A47:B47"/>
    <mergeCell ref="A4:B4"/>
    <mergeCell ref="A1:C2"/>
    <mergeCell ref="A33:C33"/>
    <mergeCell ref="A35:B35"/>
    <mergeCell ref="A36:B36"/>
    <mergeCell ref="A7:C7"/>
  </mergeCells>
  <dataValidations count="1">
    <dataValidation allowBlank="1" showInputMessage="1" showErrorMessage="1" prompt="Cette ligne définit les clés utilisées dans le tableau : Congé en C2, Personnel en F2 et Congé maladie en J2. Les cellules M2 et R2 sont personnalisables " sqref="A4"/>
  </dataValidations>
  <pageMargins left="0.7" right="0.7" top="0.75" bottom="0.75" header="0.3" footer="0.3"/>
  <pageSetup paperSize="9" orientation="portrait"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138"/>
  <sheetViews>
    <sheetView workbookViewId="0">
      <selection activeCell="H16" sqref="H16"/>
    </sheetView>
  </sheetViews>
  <sheetFormatPr baseColWidth="10" defaultRowHeight="15.75" customHeight="1" x14ac:dyDescent="0.2"/>
  <cols>
    <col min="1" max="1" width="23.42578125" style="24" customWidth="1"/>
    <col min="2" max="2" width="36" style="24" customWidth="1"/>
    <col min="3" max="16384" width="11.42578125" style="24"/>
  </cols>
  <sheetData>
    <row r="1" spans="1:2" ht="15" x14ac:dyDescent="0.25">
      <c r="A1" s="30" t="s">
        <v>64</v>
      </c>
      <c r="B1" s="23" t="s">
        <v>107</v>
      </c>
    </row>
    <row r="2" spans="1:2" ht="15" x14ac:dyDescent="0.25">
      <c r="A2" s="30" t="s">
        <v>65</v>
      </c>
      <c r="B2" s="23" t="s">
        <v>61</v>
      </c>
    </row>
    <row r="3" spans="1:2" ht="15.75" customHeight="1" x14ac:dyDescent="0.2">
      <c r="B3" s="23"/>
    </row>
    <row r="4" spans="1:2" ht="14.25" x14ac:dyDescent="0.2">
      <c r="A4" s="29" t="s">
        <v>66</v>
      </c>
      <c r="B4" s="23" t="s">
        <v>67</v>
      </c>
    </row>
    <row r="5" spans="1:2" ht="14.25" x14ac:dyDescent="0.2">
      <c r="A5" s="29" t="s">
        <v>69</v>
      </c>
      <c r="B5" s="26">
        <v>2019</v>
      </c>
    </row>
    <row r="6" spans="1:2" ht="14.25" x14ac:dyDescent="0.2">
      <c r="A6" s="25"/>
      <c r="B6" s="26"/>
    </row>
    <row r="7" spans="1:2" ht="14.25" x14ac:dyDescent="0.2">
      <c r="A7" s="29" t="s">
        <v>68</v>
      </c>
      <c r="B7" s="26"/>
    </row>
    <row r="8" spans="1:2" ht="14.25" x14ac:dyDescent="0.2">
      <c r="A8" s="26" t="s">
        <v>55</v>
      </c>
      <c r="B8" s="26"/>
    </row>
    <row r="9" spans="1:2" ht="14.25" x14ac:dyDescent="0.2">
      <c r="A9" s="26" t="s">
        <v>108</v>
      </c>
      <c r="B9" s="26"/>
    </row>
    <row r="10" spans="1:2" ht="14.25" x14ac:dyDescent="0.2">
      <c r="A10" s="26" t="s">
        <v>109</v>
      </c>
      <c r="B10" s="26"/>
    </row>
    <row r="11" spans="1:2" ht="14.25" x14ac:dyDescent="0.2">
      <c r="A11" s="26" t="s">
        <v>110</v>
      </c>
      <c r="B11" s="26"/>
    </row>
    <row r="12" spans="1:2" ht="14.25" x14ac:dyDescent="0.2">
      <c r="A12" s="26" t="s">
        <v>111</v>
      </c>
      <c r="B12" s="26"/>
    </row>
    <row r="13" spans="1:2" ht="15.75" customHeight="1" x14ac:dyDescent="0.2">
      <c r="A13" s="23"/>
      <c r="B13" s="23"/>
    </row>
    <row r="14" spans="1:2" ht="15.75" customHeight="1" x14ac:dyDescent="0.2">
      <c r="A14" s="29" t="s">
        <v>54</v>
      </c>
      <c r="B14" s="23"/>
    </row>
    <row r="15" spans="1:2" ht="15.75" customHeight="1" x14ac:dyDescent="0.25">
      <c r="A15" s="34" t="s">
        <v>77</v>
      </c>
      <c r="B15" s="23"/>
    </row>
    <row r="16" spans="1:2" ht="15.75" customHeight="1" x14ac:dyDescent="0.25">
      <c r="A16" s="34" t="s">
        <v>78</v>
      </c>
      <c r="B16" s="23"/>
    </row>
    <row r="17" spans="1:2" ht="15.75" customHeight="1" x14ac:dyDescent="0.25">
      <c r="A17" s="34" t="s">
        <v>79</v>
      </c>
      <c r="B17" s="27"/>
    </row>
    <row r="18" spans="1:2" ht="15.75" customHeight="1" x14ac:dyDescent="0.25">
      <c r="A18" s="34" t="s">
        <v>80</v>
      </c>
      <c r="B18" s="27"/>
    </row>
    <row r="19" spans="1:2" ht="15.75" customHeight="1" x14ac:dyDescent="0.25">
      <c r="A19" s="34" t="s">
        <v>81</v>
      </c>
      <c r="B19" s="27"/>
    </row>
    <row r="20" spans="1:2" ht="15.75" customHeight="1" x14ac:dyDescent="0.25">
      <c r="A20" s="34" t="s">
        <v>82</v>
      </c>
      <c r="B20" s="27"/>
    </row>
    <row r="21" spans="1:2" ht="15.75" customHeight="1" x14ac:dyDescent="0.25">
      <c r="A21" s="34" t="s">
        <v>83</v>
      </c>
      <c r="B21" s="27"/>
    </row>
    <row r="22" spans="1:2" ht="15.75" customHeight="1" x14ac:dyDescent="0.25">
      <c r="A22" s="34" t="s">
        <v>84</v>
      </c>
      <c r="B22" s="27"/>
    </row>
    <row r="23" spans="1:2" ht="15.75" customHeight="1" x14ac:dyDescent="0.25">
      <c r="A23" s="34" t="s">
        <v>85</v>
      </c>
      <c r="B23" s="27"/>
    </row>
    <row r="24" spans="1:2" ht="15.75" customHeight="1" x14ac:dyDescent="0.25">
      <c r="A24" s="34" t="s">
        <v>86</v>
      </c>
      <c r="B24" s="27"/>
    </row>
    <row r="25" spans="1:2" ht="15.75" customHeight="1" x14ac:dyDescent="0.25">
      <c r="A25" s="34" t="s">
        <v>87</v>
      </c>
      <c r="B25" s="27"/>
    </row>
    <row r="26" spans="1:2" ht="15.75" customHeight="1" x14ac:dyDescent="0.25">
      <c r="A26" s="34" t="s">
        <v>88</v>
      </c>
      <c r="B26" s="27"/>
    </row>
    <row r="27" spans="1:2" ht="15.75" customHeight="1" x14ac:dyDescent="0.25">
      <c r="A27" s="34" t="s">
        <v>89</v>
      </c>
      <c r="B27" s="27"/>
    </row>
    <row r="28" spans="1:2" ht="15.75" customHeight="1" x14ac:dyDescent="0.25">
      <c r="A28" s="34" t="s">
        <v>90</v>
      </c>
      <c r="B28" s="28"/>
    </row>
    <row r="29" spans="1:2" ht="15.75" customHeight="1" x14ac:dyDescent="0.25">
      <c r="A29" s="34" t="s">
        <v>91</v>
      </c>
      <c r="B29" s="28"/>
    </row>
    <row r="30" spans="1:2" ht="15.75" customHeight="1" x14ac:dyDescent="0.25">
      <c r="A30" s="34" t="s">
        <v>92</v>
      </c>
      <c r="B30" s="23"/>
    </row>
    <row r="31" spans="1:2" ht="15.75" customHeight="1" x14ac:dyDescent="0.25">
      <c r="A31" s="34" t="s">
        <v>93</v>
      </c>
      <c r="B31" s="23"/>
    </row>
    <row r="32" spans="1:2" ht="15.75" customHeight="1" x14ac:dyDescent="0.25">
      <c r="A32" s="34" t="s">
        <v>94</v>
      </c>
      <c r="B32" s="23"/>
    </row>
    <row r="33" spans="1:2" ht="15.75" customHeight="1" x14ac:dyDescent="0.25">
      <c r="A33" s="34" t="s">
        <v>95</v>
      </c>
      <c r="B33" s="23"/>
    </row>
    <row r="34" spans="1:2" ht="15.75" customHeight="1" x14ac:dyDescent="0.25">
      <c r="A34" s="34" t="s">
        <v>96</v>
      </c>
      <c r="B34" s="23"/>
    </row>
    <row r="35" spans="1:2" ht="15.75" customHeight="1" x14ac:dyDescent="0.25">
      <c r="A35" s="34" t="s">
        <v>97</v>
      </c>
      <c r="B35" s="23"/>
    </row>
    <row r="36" spans="1:2" ht="15.75" customHeight="1" x14ac:dyDescent="0.25">
      <c r="A36" s="34" t="s">
        <v>98</v>
      </c>
      <c r="B36" s="23"/>
    </row>
    <row r="37" spans="1:2" ht="15.75" customHeight="1" x14ac:dyDescent="0.25">
      <c r="A37" s="34" t="s">
        <v>99</v>
      </c>
      <c r="B37" s="23"/>
    </row>
    <row r="38" spans="1:2" ht="15.75" customHeight="1" x14ac:dyDescent="0.25">
      <c r="A38" s="34" t="s">
        <v>100</v>
      </c>
      <c r="B38" s="23"/>
    </row>
    <row r="39" spans="1:2" ht="15.75" customHeight="1" x14ac:dyDescent="0.25">
      <c r="A39" s="34" t="s">
        <v>101</v>
      </c>
      <c r="B39" s="23"/>
    </row>
    <row r="40" spans="1:2" ht="15.75" customHeight="1" x14ac:dyDescent="0.25">
      <c r="A40" s="34" t="s">
        <v>102</v>
      </c>
      <c r="B40" s="23"/>
    </row>
    <row r="41" spans="1:2" ht="15.75" customHeight="1" x14ac:dyDescent="0.25">
      <c r="A41" s="34" t="s">
        <v>103</v>
      </c>
      <c r="B41" s="23"/>
    </row>
    <row r="42" spans="1:2" ht="15.75" customHeight="1" x14ac:dyDescent="0.25">
      <c r="A42" s="34" t="s">
        <v>104</v>
      </c>
      <c r="B42" s="23"/>
    </row>
    <row r="43" spans="1:2" ht="15.75" customHeight="1" x14ac:dyDescent="0.25">
      <c r="A43" s="34" t="s">
        <v>105</v>
      </c>
      <c r="B43" s="23"/>
    </row>
    <row r="44" spans="1:2" ht="15.75" customHeight="1" x14ac:dyDescent="0.25">
      <c r="A44" s="34" t="s">
        <v>106</v>
      </c>
      <c r="B44" s="23"/>
    </row>
    <row r="45" spans="1:2" ht="15.75" customHeight="1" x14ac:dyDescent="0.2">
      <c r="A45" s="23"/>
      <c r="B45" s="23"/>
    </row>
    <row r="46" spans="1:2" ht="15.75" customHeight="1" x14ac:dyDescent="0.2">
      <c r="A46" s="23"/>
      <c r="B46" s="23"/>
    </row>
    <row r="47" spans="1:2" ht="15.75" customHeight="1" x14ac:dyDescent="0.2">
      <c r="A47" s="23"/>
      <c r="B47" s="23"/>
    </row>
    <row r="48" spans="1:2" ht="15.75" customHeight="1" x14ac:dyDescent="0.2">
      <c r="A48" s="23"/>
      <c r="B48" s="23"/>
    </row>
    <row r="49" spans="1:2" ht="15.75" customHeight="1" x14ac:dyDescent="0.2">
      <c r="A49" s="23"/>
      <c r="B49" s="23"/>
    </row>
    <row r="50" spans="1:2" ht="15.75" customHeight="1" x14ac:dyDescent="0.2">
      <c r="A50" s="23"/>
      <c r="B50" s="23"/>
    </row>
    <row r="51" spans="1:2" ht="15.75" customHeight="1" x14ac:dyDescent="0.2">
      <c r="A51" s="23"/>
      <c r="B51" s="23"/>
    </row>
    <row r="52" spans="1:2" ht="15.75" customHeight="1" x14ac:dyDescent="0.2">
      <c r="A52" s="23"/>
      <c r="B52" s="23"/>
    </row>
    <row r="53" spans="1:2" ht="15.75" customHeight="1" x14ac:dyDescent="0.2">
      <c r="A53" s="23"/>
      <c r="B53" s="23"/>
    </row>
    <row r="54" spans="1:2" ht="15.75" customHeight="1" x14ac:dyDescent="0.2">
      <c r="A54" s="23"/>
      <c r="B54" s="23"/>
    </row>
    <row r="55" spans="1:2" ht="15.75" customHeight="1" x14ac:dyDescent="0.2">
      <c r="A55" s="23"/>
      <c r="B55" s="23"/>
    </row>
    <row r="56" spans="1:2" ht="15.75" customHeight="1" x14ac:dyDescent="0.2">
      <c r="A56" s="23"/>
      <c r="B56" s="23"/>
    </row>
    <row r="57" spans="1:2" ht="15.75" customHeight="1" x14ac:dyDescent="0.2">
      <c r="A57" s="23"/>
      <c r="B57" s="23"/>
    </row>
    <row r="58" spans="1:2" ht="15.75" customHeight="1" x14ac:dyDescent="0.2">
      <c r="A58" s="23"/>
      <c r="B58" s="23"/>
    </row>
    <row r="59" spans="1:2" ht="15.75" customHeight="1" x14ac:dyDescent="0.2">
      <c r="A59" s="23"/>
      <c r="B59" s="23"/>
    </row>
    <row r="60" spans="1:2" ht="15.75" customHeight="1" x14ac:dyDescent="0.2">
      <c r="A60" s="23"/>
      <c r="B60" s="23"/>
    </row>
    <row r="61" spans="1:2" ht="15.75" customHeight="1" x14ac:dyDescent="0.2">
      <c r="A61" s="23"/>
      <c r="B61" s="23"/>
    </row>
    <row r="62" spans="1:2" ht="15.75" customHeight="1" x14ac:dyDescent="0.2">
      <c r="A62" s="23"/>
      <c r="B62" s="23"/>
    </row>
    <row r="63" spans="1:2" ht="15.75" customHeight="1" x14ac:dyDescent="0.2">
      <c r="A63" s="23"/>
      <c r="B63" s="23"/>
    </row>
    <row r="64" spans="1:2" ht="15.75" customHeight="1" x14ac:dyDescent="0.2">
      <c r="A64" s="23"/>
      <c r="B64" s="23"/>
    </row>
    <row r="65" spans="1:2" ht="15.75" customHeight="1" x14ac:dyDescent="0.2">
      <c r="A65" s="23"/>
      <c r="B65" s="23"/>
    </row>
    <row r="66" spans="1:2" ht="15.75" customHeight="1" x14ac:dyDescent="0.2">
      <c r="A66" s="23"/>
      <c r="B66" s="23"/>
    </row>
    <row r="67" spans="1:2" ht="15.75" customHeight="1" x14ac:dyDescent="0.2">
      <c r="A67" s="23"/>
      <c r="B67" s="23"/>
    </row>
    <row r="68" spans="1:2" ht="15.75" customHeight="1" x14ac:dyDescent="0.2">
      <c r="A68" s="23"/>
      <c r="B68" s="23"/>
    </row>
    <row r="69" spans="1:2" ht="15.75" customHeight="1" x14ac:dyDescent="0.2">
      <c r="A69" s="23"/>
      <c r="B69" s="23"/>
    </row>
    <row r="70" spans="1:2" ht="15.75" customHeight="1" x14ac:dyDescent="0.2">
      <c r="A70" s="23"/>
      <c r="B70" s="23"/>
    </row>
    <row r="71" spans="1:2" ht="15.75" customHeight="1" x14ac:dyDescent="0.2">
      <c r="A71" s="23"/>
      <c r="B71" s="23"/>
    </row>
    <row r="72" spans="1:2" ht="15.75" customHeight="1" x14ac:dyDescent="0.2">
      <c r="A72" s="23"/>
      <c r="B72" s="23"/>
    </row>
    <row r="73" spans="1:2" ht="15.75" customHeight="1" x14ac:dyDescent="0.2">
      <c r="A73" s="23"/>
      <c r="B73" s="23"/>
    </row>
    <row r="74" spans="1:2" ht="15.75" customHeight="1" x14ac:dyDescent="0.2">
      <c r="A74" s="23"/>
      <c r="B74" s="23"/>
    </row>
    <row r="75" spans="1:2" ht="15.75" customHeight="1" x14ac:dyDescent="0.2">
      <c r="A75" s="23"/>
      <c r="B75" s="23"/>
    </row>
    <row r="76" spans="1:2" ht="15.75" customHeight="1" x14ac:dyDescent="0.2">
      <c r="A76" s="23"/>
      <c r="B76" s="23"/>
    </row>
    <row r="77" spans="1:2" ht="15.75" customHeight="1" x14ac:dyDescent="0.2">
      <c r="A77" s="23"/>
      <c r="B77" s="23"/>
    </row>
    <row r="78" spans="1:2" ht="15.75" customHeight="1" x14ac:dyDescent="0.2">
      <c r="A78" s="23"/>
      <c r="B78" s="23"/>
    </row>
    <row r="79" spans="1:2" ht="15.75" customHeight="1" x14ac:dyDescent="0.2">
      <c r="A79" s="23"/>
      <c r="B79" s="23"/>
    </row>
    <row r="80" spans="1:2" ht="15.75" customHeight="1" x14ac:dyDescent="0.2">
      <c r="A80" s="23"/>
      <c r="B80" s="23"/>
    </row>
    <row r="81" spans="1:2" ht="15.75" customHeight="1" x14ac:dyDescent="0.2">
      <c r="A81" s="23"/>
      <c r="B81" s="23"/>
    </row>
    <row r="82" spans="1:2" ht="15.75" customHeight="1" x14ac:dyDescent="0.2">
      <c r="A82" s="23"/>
      <c r="B82" s="23"/>
    </row>
    <row r="83" spans="1:2" ht="15.75" customHeight="1" x14ac:dyDescent="0.2">
      <c r="A83" s="23"/>
      <c r="B83" s="23"/>
    </row>
    <row r="84" spans="1:2" ht="15.75" customHeight="1" x14ac:dyDescent="0.2">
      <c r="A84" s="23"/>
      <c r="B84" s="23"/>
    </row>
    <row r="85" spans="1:2" ht="15.75" customHeight="1" x14ac:dyDescent="0.2">
      <c r="A85" s="23"/>
      <c r="B85" s="23"/>
    </row>
    <row r="86" spans="1:2" ht="15.75" customHeight="1" x14ac:dyDescent="0.2">
      <c r="A86" s="23"/>
      <c r="B86" s="23"/>
    </row>
    <row r="87" spans="1:2" ht="15.75" customHeight="1" x14ac:dyDescent="0.2">
      <c r="A87" s="23"/>
      <c r="B87" s="23"/>
    </row>
    <row r="88" spans="1:2" ht="15.75" customHeight="1" x14ac:dyDescent="0.2">
      <c r="A88" s="23"/>
      <c r="B88" s="23"/>
    </row>
    <row r="89" spans="1:2" ht="15.75" customHeight="1" x14ac:dyDescent="0.2">
      <c r="A89" s="23"/>
      <c r="B89" s="23"/>
    </row>
    <row r="90" spans="1:2" ht="15.75" customHeight="1" x14ac:dyDescent="0.2">
      <c r="A90" s="23"/>
      <c r="B90" s="23"/>
    </row>
    <row r="91" spans="1:2" ht="15.75" customHeight="1" x14ac:dyDescent="0.2">
      <c r="A91" s="23"/>
      <c r="B91" s="23"/>
    </row>
    <row r="92" spans="1:2" ht="15.75" customHeight="1" x14ac:dyDescent="0.2">
      <c r="A92" s="23"/>
      <c r="B92" s="23"/>
    </row>
    <row r="93" spans="1:2" ht="15.75" customHeight="1" x14ac:dyDescent="0.2">
      <c r="A93" s="23"/>
      <c r="B93" s="23"/>
    </row>
    <row r="94" spans="1:2" ht="15.75" customHeight="1" x14ac:dyDescent="0.2">
      <c r="A94" s="23"/>
      <c r="B94" s="23"/>
    </row>
    <row r="95" spans="1:2" ht="15.75" customHeight="1" x14ac:dyDescent="0.2">
      <c r="A95" s="23"/>
      <c r="B95" s="23"/>
    </row>
    <row r="96" spans="1:2" ht="15.75" customHeight="1" x14ac:dyDescent="0.2">
      <c r="A96" s="23"/>
      <c r="B96" s="23"/>
    </row>
    <row r="97" spans="1:2" ht="15.75" customHeight="1" x14ac:dyDescent="0.2">
      <c r="A97" s="23"/>
      <c r="B97" s="23"/>
    </row>
    <row r="98" spans="1:2" ht="15.75" customHeight="1" x14ac:dyDescent="0.2">
      <c r="A98" s="23"/>
      <c r="B98" s="23"/>
    </row>
    <row r="99" spans="1:2" ht="15.75" customHeight="1" x14ac:dyDescent="0.2">
      <c r="A99" s="23"/>
      <c r="B99" s="23"/>
    </row>
    <row r="100" spans="1:2" ht="15.75" customHeight="1" x14ac:dyDescent="0.2">
      <c r="A100" s="23"/>
      <c r="B100" s="23"/>
    </row>
    <row r="101" spans="1:2" ht="15.75" customHeight="1" x14ac:dyDescent="0.2">
      <c r="A101" s="23"/>
      <c r="B101" s="23"/>
    </row>
    <row r="102" spans="1:2" ht="15.75" customHeight="1" x14ac:dyDescent="0.2">
      <c r="A102" s="23"/>
      <c r="B102" s="23"/>
    </row>
    <row r="103" spans="1:2" ht="15.75" customHeight="1" x14ac:dyDescent="0.2">
      <c r="A103" s="23"/>
      <c r="B103" s="23"/>
    </row>
    <row r="104" spans="1:2" ht="15.75" customHeight="1" x14ac:dyDescent="0.2">
      <c r="A104" s="23"/>
      <c r="B104" s="23"/>
    </row>
    <row r="105" spans="1:2" ht="15.75" customHeight="1" x14ac:dyDescent="0.2">
      <c r="A105" s="23"/>
      <c r="B105" s="23"/>
    </row>
    <row r="106" spans="1:2" ht="15.75" customHeight="1" x14ac:dyDescent="0.2">
      <c r="A106" s="23"/>
      <c r="B106" s="23"/>
    </row>
    <row r="107" spans="1:2" ht="15.75" customHeight="1" x14ac:dyDescent="0.2">
      <c r="A107" s="23"/>
      <c r="B107" s="23"/>
    </row>
    <row r="108" spans="1:2" ht="15.75" customHeight="1" x14ac:dyDescent="0.2">
      <c r="A108" s="23"/>
      <c r="B108" s="23"/>
    </row>
    <row r="109" spans="1:2" ht="15.75" customHeight="1" x14ac:dyDescent="0.2">
      <c r="A109" s="23"/>
      <c r="B109" s="23"/>
    </row>
    <row r="110" spans="1:2" ht="15.75" customHeight="1" x14ac:dyDescent="0.2">
      <c r="A110" s="23"/>
      <c r="B110" s="23"/>
    </row>
    <row r="111" spans="1:2" ht="15.75" customHeight="1" x14ac:dyDescent="0.2">
      <c r="A111" s="23"/>
      <c r="B111" s="23"/>
    </row>
    <row r="112" spans="1:2" ht="15.75" customHeight="1" x14ac:dyDescent="0.2">
      <c r="A112" s="23"/>
      <c r="B112" s="23"/>
    </row>
    <row r="113" spans="1:2" ht="15.75" customHeight="1" x14ac:dyDescent="0.2">
      <c r="A113" s="23"/>
      <c r="B113" s="23"/>
    </row>
    <row r="114" spans="1:2" ht="15.75" customHeight="1" x14ac:dyDescent="0.2">
      <c r="A114" s="23"/>
      <c r="B114" s="23"/>
    </row>
    <row r="115" spans="1:2" ht="15.75" customHeight="1" x14ac:dyDescent="0.2">
      <c r="A115" s="23"/>
      <c r="B115" s="23"/>
    </row>
    <row r="116" spans="1:2" ht="15.75" customHeight="1" x14ac:dyDescent="0.2">
      <c r="A116" s="23"/>
      <c r="B116" s="23"/>
    </row>
    <row r="117" spans="1:2" ht="15.75" customHeight="1" x14ac:dyDescent="0.2">
      <c r="A117" s="23"/>
      <c r="B117" s="23"/>
    </row>
    <row r="118" spans="1:2" ht="15.75" customHeight="1" x14ac:dyDescent="0.2">
      <c r="A118" s="23"/>
      <c r="B118" s="23"/>
    </row>
    <row r="119" spans="1:2" ht="15.75" customHeight="1" x14ac:dyDescent="0.2">
      <c r="A119" s="23"/>
      <c r="B119" s="23"/>
    </row>
    <row r="120" spans="1:2" ht="15.75" customHeight="1" x14ac:dyDescent="0.2">
      <c r="A120" s="23"/>
      <c r="B120" s="23"/>
    </row>
    <row r="121" spans="1:2" ht="15.75" customHeight="1" x14ac:dyDescent="0.2">
      <c r="A121" s="23"/>
      <c r="B121" s="23"/>
    </row>
    <row r="122" spans="1:2" ht="15.75" customHeight="1" x14ac:dyDescent="0.2">
      <c r="A122" s="23"/>
      <c r="B122" s="23"/>
    </row>
    <row r="123" spans="1:2" ht="15.75" customHeight="1" x14ac:dyDescent="0.2">
      <c r="A123" s="23"/>
      <c r="B123" s="23"/>
    </row>
    <row r="124" spans="1:2" ht="15.75" customHeight="1" x14ac:dyDescent="0.2">
      <c r="A124" s="23"/>
      <c r="B124" s="23"/>
    </row>
    <row r="125" spans="1:2" ht="15.75" customHeight="1" x14ac:dyDescent="0.2">
      <c r="A125" s="23"/>
      <c r="B125" s="23"/>
    </row>
    <row r="126" spans="1:2" ht="15.75" customHeight="1" x14ac:dyDescent="0.2">
      <c r="A126" s="23"/>
      <c r="B126" s="23"/>
    </row>
    <row r="127" spans="1:2" ht="15.75" customHeight="1" x14ac:dyDescent="0.2">
      <c r="A127" s="23"/>
      <c r="B127" s="23"/>
    </row>
    <row r="128" spans="1:2" ht="15.75" customHeight="1" x14ac:dyDescent="0.2">
      <c r="A128" s="23"/>
      <c r="B128" s="23"/>
    </row>
    <row r="129" spans="1:2" ht="15.75" customHeight="1" x14ac:dyDescent="0.2">
      <c r="A129" s="23"/>
      <c r="B129" s="23"/>
    </row>
    <row r="130" spans="1:2" ht="15.75" customHeight="1" x14ac:dyDescent="0.2">
      <c r="A130" s="23"/>
      <c r="B130" s="23"/>
    </row>
    <row r="131" spans="1:2" ht="15.75" customHeight="1" x14ac:dyDescent="0.2">
      <c r="A131" s="23"/>
      <c r="B131" s="23"/>
    </row>
    <row r="132" spans="1:2" ht="15.75" customHeight="1" x14ac:dyDescent="0.2">
      <c r="A132" s="23"/>
      <c r="B132" s="23"/>
    </row>
    <row r="133" spans="1:2" ht="15.75" customHeight="1" x14ac:dyDescent="0.2">
      <c r="A133" s="23"/>
      <c r="B133" s="23"/>
    </row>
    <row r="134" spans="1:2" ht="15.75" customHeight="1" x14ac:dyDescent="0.2">
      <c r="A134" s="23"/>
      <c r="B134" s="23"/>
    </row>
    <row r="135" spans="1:2" ht="15.75" customHeight="1" x14ac:dyDescent="0.2">
      <c r="A135" s="23"/>
      <c r="B135" s="23"/>
    </row>
    <row r="136" spans="1:2" ht="15.75" customHeight="1" x14ac:dyDescent="0.2">
      <c r="A136" s="23"/>
      <c r="B136" s="23"/>
    </row>
    <row r="137" spans="1:2" ht="15.75" customHeight="1" x14ac:dyDescent="0.2">
      <c r="A137" s="23"/>
      <c r="B137" s="23"/>
    </row>
    <row r="138" spans="1:2" ht="15.75" customHeight="1" x14ac:dyDescent="0.2">
      <c r="A138" s="23"/>
      <c r="B138" s="23"/>
    </row>
  </sheetData>
  <dataValidations count="1">
    <dataValidation type="list" allowBlank="1" showInputMessage="1" showErrorMessage="1" errorTitle="Choisissez dans la liste !" error="Choisissez dans la liste !" promptTitle="Choisissez dans la liste" prompt="Choisissez dans la liste" sqref="B8:B11">
      <formula1>"oui,non"</formula1>
    </dataValidation>
  </dataValidation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2" tint="-0.89999084444715716"/>
    <pageSetUpPr fitToPage="1"/>
  </sheetPr>
  <dimension ref="A1:AH37"/>
  <sheetViews>
    <sheetView showGridLines="0" zoomScaleNormal="100" workbookViewId="0">
      <pane xSplit="1" ySplit="6" topLeftCell="B7" activePane="bottomRight" state="frozen"/>
      <selection pane="topRight" activeCell="B1" sqref="B1"/>
      <selection pane="bottomLeft" activeCell="A7" sqref="A7"/>
      <selection pane="bottomRight" activeCell="E10" sqref="E10"/>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1:34" ht="50.1" customHeight="1" x14ac:dyDescent="0.25">
      <c r="A1" s="14"/>
      <c r="B1" s="12" t="str">
        <f>Paramètre!B2</f>
        <v>Calendrier des absences des employés EQ B</v>
      </c>
    </row>
    <row r="2" spans="1:34" ht="15" customHeight="1" x14ac:dyDescent="0.25">
      <c r="B2" s="15" t="s">
        <v>0</v>
      </c>
      <c r="C2" s="3" t="s">
        <v>3</v>
      </c>
      <c r="D2" s="53" t="s">
        <v>6</v>
      </c>
      <c r="E2" s="54"/>
      <c r="F2" s="4" t="s">
        <v>57</v>
      </c>
      <c r="G2" s="53" t="s">
        <v>58</v>
      </c>
      <c r="H2" s="54"/>
      <c r="I2" s="54"/>
      <c r="J2" s="5" t="s">
        <v>10</v>
      </c>
      <c r="K2" s="53" t="s">
        <v>16</v>
      </c>
      <c r="L2" s="54"/>
      <c r="M2" s="6" t="s">
        <v>59</v>
      </c>
      <c r="N2" s="53" t="s">
        <v>60</v>
      </c>
      <c r="O2" s="54"/>
      <c r="P2" s="54"/>
      <c r="Q2" s="54"/>
      <c r="R2" s="7" t="s">
        <v>55</v>
      </c>
      <c r="S2" s="53" t="s">
        <v>56</v>
      </c>
      <c r="T2" s="54"/>
      <c r="U2" s="54"/>
      <c r="V2" s="54"/>
      <c r="W2" s="22" t="s">
        <v>62</v>
      </c>
      <c r="X2" s="53" t="s">
        <v>63</v>
      </c>
      <c r="Y2" s="54"/>
      <c r="Z2" s="54"/>
      <c r="AA2" s="54"/>
    </row>
    <row r="3" spans="1:34" ht="15" customHeight="1" x14ac:dyDescent="0.25">
      <c r="AH3" s="16" t="s">
        <v>39</v>
      </c>
    </row>
    <row r="4" spans="1:34" ht="30" customHeight="1" x14ac:dyDescent="0.25">
      <c r="B4" s="10" t="s">
        <v>1</v>
      </c>
      <c r="C4" s="52" t="s">
        <v>4</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10">
        <f>Paramètre!B5</f>
        <v>2019</v>
      </c>
    </row>
    <row r="5" spans="1:34" ht="15" customHeight="1" x14ac:dyDescent="0.25">
      <c r="B5" s="10"/>
      <c r="C5" s="1" t="str">
        <f>TEXT(WEEKDAY(DATE(AnnéeCalendrier,1,1),1),"jjj")</f>
        <v>mar</v>
      </c>
      <c r="D5" s="1" t="str">
        <f>TEXT(WEEKDAY(DATE(AnnéeCalendrier,1,2),1),"jjj")</f>
        <v>mer</v>
      </c>
      <c r="E5" s="1" t="str">
        <f>TEXT(WEEKDAY(DATE(AnnéeCalendrier,1,3),1),"jjj")</f>
        <v>jeu</v>
      </c>
      <c r="F5" s="1" t="str">
        <f>TEXT(WEEKDAY(DATE(AnnéeCalendrier,1,4),1),"jjj")</f>
        <v>ven</v>
      </c>
      <c r="G5" s="1" t="str">
        <f>TEXT(WEEKDAY(DATE(AnnéeCalendrier,1,5),1),"jjj")</f>
        <v>sam</v>
      </c>
      <c r="H5" s="1" t="str">
        <f>TEXT(WEEKDAY(DATE(AnnéeCalendrier,1,6),1),"jjj")</f>
        <v>dim</v>
      </c>
      <c r="I5" s="1" t="str">
        <f>TEXT(WEEKDAY(DATE(AnnéeCalendrier,1,7),1),"jjj")</f>
        <v>lun</v>
      </c>
      <c r="J5" s="1" t="str">
        <f>TEXT(WEEKDAY(DATE(AnnéeCalendrier,1,8),1),"jjj")</f>
        <v>mar</v>
      </c>
      <c r="K5" s="1" t="str">
        <f>TEXT(WEEKDAY(DATE(AnnéeCalendrier,1,9),1),"jjj")</f>
        <v>mer</v>
      </c>
      <c r="L5" s="1" t="str">
        <f>TEXT(WEEKDAY(DATE(AnnéeCalendrier,1,10),1),"jjj")</f>
        <v>jeu</v>
      </c>
      <c r="M5" s="1" t="str">
        <f>TEXT(WEEKDAY(DATE(AnnéeCalendrier,1,11),1),"jjj")</f>
        <v>ven</v>
      </c>
      <c r="N5" s="1" t="str">
        <f>TEXT(WEEKDAY(DATE(AnnéeCalendrier,1,12),1),"jjj")</f>
        <v>sam</v>
      </c>
      <c r="O5" s="1" t="str">
        <f>TEXT(WEEKDAY(DATE(AnnéeCalendrier,1,13),1),"jjj")</f>
        <v>dim</v>
      </c>
      <c r="P5" s="1" t="str">
        <f>TEXT(WEEKDAY(DATE(AnnéeCalendrier,1,14),1),"jjj")</f>
        <v>lun</v>
      </c>
      <c r="Q5" s="1" t="str">
        <f>TEXT(WEEKDAY(DATE(AnnéeCalendrier,1,15),1),"jjj")</f>
        <v>mar</v>
      </c>
      <c r="R5" s="1" t="str">
        <f>TEXT(WEEKDAY(DATE(AnnéeCalendrier,1,16),1),"jjj")</f>
        <v>mer</v>
      </c>
      <c r="S5" s="1" t="str">
        <f>TEXT(WEEKDAY(DATE(AnnéeCalendrier,1,17),1),"jjj")</f>
        <v>jeu</v>
      </c>
      <c r="T5" s="1" t="str">
        <f>TEXT(WEEKDAY(DATE(AnnéeCalendrier,1,18),1),"jjj")</f>
        <v>ven</v>
      </c>
      <c r="U5" s="1" t="str">
        <f>TEXT(WEEKDAY(DATE(AnnéeCalendrier,1,19),1),"jjj")</f>
        <v>sam</v>
      </c>
      <c r="V5" s="1" t="str">
        <f>TEXT(WEEKDAY(DATE(AnnéeCalendrier,1,20),1),"jjj")</f>
        <v>dim</v>
      </c>
      <c r="W5" s="1" t="str">
        <f>TEXT(WEEKDAY(DATE(AnnéeCalendrier,1,21),1),"jjj")</f>
        <v>lun</v>
      </c>
      <c r="X5" s="1" t="str">
        <f>TEXT(WEEKDAY(DATE(AnnéeCalendrier,1,22),1),"jjj")</f>
        <v>mar</v>
      </c>
      <c r="Y5" s="1" t="str">
        <f>TEXT(WEEKDAY(DATE(AnnéeCalendrier,1,23),1),"jjj")</f>
        <v>mer</v>
      </c>
      <c r="Z5" s="1" t="str">
        <f>TEXT(WEEKDAY(DATE(AnnéeCalendrier,1,24),1),"jjj")</f>
        <v>jeu</v>
      </c>
      <c r="AA5" s="1" t="str">
        <f>TEXT(WEEKDAY(DATE(AnnéeCalendrier,1,25),1),"jjj")</f>
        <v>ven</v>
      </c>
      <c r="AB5" s="1" t="str">
        <f>TEXT(WEEKDAY(DATE(AnnéeCalendrier,1,26),1),"jjj")</f>
        <v>sam</v>
      </c>
      <c r="AC5" s="1" t="str">
        <f>TEXT(WEEKDAY(DATE(AnnéeCalendrier,1,27),1),"jjj")</f>
        <v>dim</v>
      </c>
      <c r="AD5" s="1" t="str">
        <f>TEXT(WEEKDAY(DATE(AnnéeCalendrier,1,28),1),"jjj")</f>
        <v>lun</v>
      </c>
      <c r="AE5" s="1" t="str">
        <f>TEXT(WEEKDAY(DATE(AnnéeCalendrier,1,29),1),"jjj")</f>
        <v>mar</v>
      </c>
      <c r="AF5" s="1" t="str">
        <f>TEXT(WEEKDAY(DATE(AnnéeCalendrier,1,30),1),"jjj")</f>
        <v>mer</v>
      </c>
      <c r="AG5" s="1" t="str">
        <f>TEXT(WEEKDAY(DATE(AnnéeCalendrier,1,31),1),"jjj")</f>
        <v>jeu</v>
      </c>
      <c r="AH5" s="10"/>
    </row>
    <row r="6" spans="1:34" ht="15" customHeight="1" x14ac:dyDescent="0.25">
      <c r="B6" s="18" t="s">
        <v>2</v>
      </c>
      <c r="C6" s="2" t="s">
        <v>5</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1:34" ht="15" x14ac:dyDescent="0.25">
      <c r="B7" s="19" t="str">
        <f>Paramètre!$A15</f>
        <v>A1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COUNTA(Janvier!$C7:$AG7)</f>
        <v>0</v>
      </c>
    </row>
    <row r="8" spans="1:34" ht="15" x14ac:dyDescent="0.25">
      <c r="B8" s="19" t="str">
        <f>Paramètre!$A16</f>
        <v>A2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0">
        <f>COUNTA(Janvier!$C8:$AG8)</f>
        <v>0</v>
      </c>
    </row>
    <row r="9" spans="1:34" ht="15" x14ac:dyDescent="0.25">
      <c r="B9" s="19" t="str">
        <f>Paramètre!$A17</f>
        <v>A3</v>
      </c>
      <c r="C9" s="2" t="s">
        <v>71</v>
      </c>
      <c r="D9" s="2" t="s">
        <v>71</v>
      </c>
      <c r="E9" s="2" t="s">
        <v>71</v>
      </c>
      <c r="F9" s="2"/>
      <c r="G9" s="2"/>
      <c r="H9" s="2"/>
      <c r="I9" s="2"/>
      <c r="J9" s="2"/>
      <c r="K9" s="2"/>
      <c r="L9" s="2"/>
      <c r="M9" s="2"/>
      <c r="N9" s="2"/>
      <c r="O9" s="2"/>
      <c r="P9" s="2"/>
      <c r="Q9" s="2"/>
      <c r="R9" s="2"/>
      <c r="S9" s="2"/>
      <c r="T9" s="2"/>
      <c r="U9" s="2"/>
      <c r="V9" s="2"/>
      <c r="W9" s="2"/>
      <c r="X9" s="2"/>
      <c r="Y9" s="2"/>
      <c r="Z9" s="2"/>
      <c r="AA9" s="2"/>
      <c r="AB9" s="2"/>
      <c r="AC9" s="2"/>
      <c r="AD9" s="2"/>
      <c r="AE9" s="2"/>
      <c r="AF9" s="2"/>
      <c r="AG9" s="2"/>
      <c r="AH9" s="20">
        <f>COUNTA(Janvier!$C9:$AG9)</f>
        <v>3</v>
      </c>
    </row>
    <row r="10" spans="1:34" ht="15" x14ac:dyDescent="0.25">
      <c r="B10" s="19" t="str">
        <f>Paramètre!$A18</f>
        <v>A4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0">
        <f>COUNTA(Janvier!$C10:$AG10)</f>
        <v>0</v>
      </c>
    </row>
    <row r="11" spans="1:34" ht="15" x14ac:dyDescent="0.25">
      <c r="B11" s="19" t="str">
        <f>Paramètre!$A19</f>
        <v>A5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0">
        <f>COUNTA(Janvier!$C11:$AG11)</f>
        <v>0</v>
      </c>
    </row>
    <row r="12" spans="1:34" ht="15" x14ac:dyDescent="0.25">
      <c r="B12" s="19" t="str">
        <f>Paramètre!$A20</f>
        <v>A6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0">
        <f>COUNTA(Janvier!$C12:$AG12)</f>
        <v>0</v>
      </c>
    </row>
    <row r="13" spans="1:34" ht="15" x14ac:dyDescent="0.25">
      <c r="B13" s="19" t="str">
        <f>Paramètre!$A21</f>
        <v>A7</v>
      </c>
      <c r="C13" s="21"/>
      <c r="D13" s="21"/>
      <c r="E13" s="21"/>
      <c r="F13" s="8"/>
      <c r="G13" s="8"/>
      <c r="H13" s="8"/>
      <c r="I13" s="8"/>
      <c r="J13" s="21"/>
      <c r="K13" s="8"/>
      <c r="L13" s="8"/>
      <c r="M13" s="8"/>
      <c r="N13" s="8"/>
      <c r="O13" s="8"/>
      <c r="P13" s="8"/>
      <c r="Q13" s="8"/>
      <c r="R13" s="8"/>
      <c r="S13" s="8"/>
      <c r="T13" s="8"/>
      <c r="U13" s="8"/>
      <c r="V13" s="8"/>
      <c r="W13" s="8"/>
      <c r="X13" s="8"/>
      <c r="Y13" s="8"/>
      <c r="Z13" s="8"/>
      <c r="AA13" s="8"/>
      <c r="AB13" s="8"/>
      <c r="AC13" s="8"/>
      <c r="AD13" s="8"/>
      <c r="AE13" s="8"/>
      <c r="AF13" s="8"/>
      <c r="AG13" s="8"/>
      <c r="AH13" s="20">
        <f>COUNTA(Janvier!$C13:$AG13)</f>
        <v>0</v>
      </c>
    </row>
    <row r="14" spans="1:34" ht="15" x14ac:dyDescent="0.25">
      <c r="B14" s="19" t="str">
        <f>Paramètre!$A22</f>
        <v>A8</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0">
        <f>COUNTA(Janvier!$C14:$AG14)</f>
        <v>0</v>
      </c>
    </row>
    <row r="15" spans="1:34" ht="15" x14ac:dyDescent="0.25">
      <c r="B15" s="19" t="str">
        <f>Paramètre!$A23</f>
        <v>A9</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0">
        <f>COUNTA(Janvier!$C15:$AG15)</f>
        <v>0</v>
      </c>
    </row>
    <row r="16" spans="1:34" ht="15" x14ac:dyDescent="0.25">
      <c r="B16" s="19" t="str">
        <f>Paramètre!$A24</f>
        <v>A10</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0">
        <f>COUNTA(Janvier!$C16:$AG16)</f>
        <v>0</v>
      </c>
    </row>
    <row r="17" spans="2:34" ht="15" x14ac:dyDescent="0.25">
      <c r="B17" s="19" t="str">
        <f>Paramètre!$A25</f>
        <v>A11</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0">
        <f>COUNTA(Janvier!$C17:$AG17)</f>
        <v>0</v>
      </c>
    </row>
    <row r="18" spans="2:34" ht="15" x14ac:dyDescent="0.25">
      <c r="B18" s="19" t="str">
        <f>Paramètre!$A26</f>
        <v>A12</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20">
        <f>COUNTA(Janvier!$C18:$AG18)</f>
        <v>0</v>
      </c>
    </row>
    <row r="19" spans="2:34" ht="15" x14ac:dyDescent="0.25">
      <c r="B19" s="19" t="str">
        <f>Paramètre!$A27</f>
        <v>A13</v>
      </c>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20">
        <f>COUNTA(Janvier!$C19:$AG19)</f>
        <v>0</v>
      </c>
    </row>
    <row r="20" spans="2:34" ht="15" x14ac:dyDescent="0.25">
      <c r="B20" s="19" t="str">
        <f>Paramètre!$A28</f>
        <v>A14</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20">
        <f>COUNTA(Janvier!$C20:$AG20)</f>
        <v>0</v>
      </c>
    </row>
    <row r="21" spans="2:34" ht="15" x14ac:dyDescent="0.25">
      <c r="B21" s="19" t="str">
        <f>Paramètre!$A29</f>
        <v>A15</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20">
        <f>COUNTA(Janvier!$C21:$AG21)</f>
        <v>0</v>
      </c>
    </row>
    <row r="22" spans="2:34" ht="15" x14ac:dyDescent="0.25">
      <c r="B22" s="19" t="str">
        <f>Paramètre!$A30</f>
        <v>A16</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20">
        <f>COUNTA(Janvier!$C22:$AG22)</f>
        <v>0</v>
      </c>
    </row>
    <row r="23" spans="2:34" ht="15" x14ac:dyDescent="0.25">
      <c r="B23" s="19" t="str">
        <f>Paramètre!$A31</f>
        <v>A17</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20">
        <f>COUNTA(Janvier!$C23:$AG23)</f>
        <v>0</v>
      </c>
    </row>
    <row r="24" spans="2:34" ht="15" x14ac:dyDescent="0.25">
      <c r="B24" s="19" t="str">
        <f>Paramètre!$A32</f>
        <v>A18</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20">
        <f>COUNTA(Janvier!$C24:$AG24)</f>
        <v>0</v>
      </c>
    </row>
    <row r="25" spans="2:34" ht="15" x14ac:dyDescent="0.25">
      <c r="B25" s="19" t="str">
        <f>Paramètre!$A33</f>
        <v>A19</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20">
        <f>COUNTA(Janvier!$C25:$AG25)</f>
        <v>0</v>
      </c>
    </row>
    <row r="26" spans="2:34" ht="15" x14ac:dyDescent="0.25">
      <c r="B26" s="19" t="str">
        <f>Paramètre!$A34</f>
        <v>A20</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20">
        <f>COUNTA(Janvier!$C26:$AG26)</f>
        <v>0</v>
      </c>
    </row>
    <row r="27" spans="2:34" ht="15" x14ac:dyDescent="0.25">
      <c r="B27" s="19" t="str">
        <f>Paramètre!$A35</f>
        <v>A21</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20">
        <f>COUNTA(Janvier!$C27:$AG27)</f>
        <v>0</v>
      </c>
    </row>
    <row r="28" spans="2:34" ht="15" x14ac:dyDescent="0.25">
      <c r="B28" s="19" t="str">
        <f>Paramètre!$A36</f>
        <v>A22</v>
      </c>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20">
        <f>COUNTA(Janvier!$C28:$AG28)</f>
        <v>0</v>
      </c>
    </row>
    <row r="29" spans="2:34" ht="15" x14ac:dyDescent="0.25">
      <c r="B29" s="19" t="str">
        <f>Paramètre!$A37</f>
        <v>A23</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20">
        <f>COUNTA(Janvier!$C29:$AG29)</f>
        <v>0</v>
      </c>
    </row>
    <row r="30" spans="2:34" ht="15" x14ac:dyDescent="0.25">
      <c r="B30" s="19" t="str">
        <f>Paramètre!$A38</f>
        <v>A24</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20">
        <f>COUNTA(Janvier!$C30:$AG30)</f>
        <v>0</v>
      </c>
    </row>
    <row r="31" spans="2:34" ht="15" x14ac:dyDescent="0.25">
      <c r="B31" s="19" t="str">
        <f>Paramètre!$A39</f>
        <v>A25</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20">
        <f>COUNTA(Janvier!$C31:$AG31)</f>
        <v>0</v>
      </c>
    </row>
    <row r="32" spans="2:34" ht="15" x14ac:dyDescent="0.25">
      <c r="B32" s="19" t="str">
        <f>Paramètre!$A40</f>
        <v>A26</v>
      </c>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20">
        <f>COUNTA(Janvier!$C32:$AG32)</f>
        <v>0</v>
      </c>
    </row>
    <row r="33" spans="2:34" ht="15" x14ac:dyDescent="0.25">
      <c r="B33" s="19" t="str">
        <f>Paramètre!$A41</f>
        <v>A27</v>
      </c>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20">
        <f>COUNTA(Janvier!$C33:$AG33)</f>
        <v>0</v>
      </c>
    </row>
    <row r="34" spans="2:34" ht="15" x14ac:dyDescent="0.25">
      <c r="B34" s="19" t="str">
        <f>Paramètre!$A42</f>
        <v>A28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20">
        <f>COUNTA(Janvier!$C34:$AG34)</f>
        <v>0</v>
      </c>
    </row>
    <row r="35" spans="2:34" ht="15" x14ac:dyDescent="0.25">
      <c r="B35" s="19" t="str">
        <f>Paramètre!$A43</f>
        <v>A29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20">
        <f>COUNTA(Janvier!$C35:$AG35)</f>
        <v>0</v>
      </c>
    </row>
    <row r="36" spans="2:34" ht="15" x14ac:dyDescent="0.25">
      <c r="B36" s="19" t="str">
        <f>Paramètre!$A44</f>
        <v>A30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20">
        <f>COUNTA(Janvier!$C36:$AG36)</f>
        <v>0</v>
      </c>
    </row>
    <row r="37" spans="2:34" ht="30" customHeight="1" x14ac:dyDescent="0.25">
      <c r="B37" s="17" t="str">
        <f>NomMois&amp;" Total"</f>
        <v>Janvier Total</v>
      </c>
      <c r="C37" s="11">
        <f>SUBTOTAL(103,Janvier!$C$7:$C$36)</f>
        <v>1</v>
      </c>
      <c r="D37" s="11">
        <f>SUBTOTAL(103,Janvier!$D$7:$D$36)</f>
        <v>1</v>
      </c>
      <c r="E37" s="11">
        <f>SUBTOTAL(103,Janvier!$E$7:$E$36)</f>
        <v>1</v>
      </c>
      <c r="F37" s="11">
        <f>SUBTOTAL(103,Janvier!$F$7:$F$36)</f>
        <v>0</v>
      </c>
      <c r="G37" s="11">
        <f>SUBTOTAL(103,Janvier!$G$7:$G$36)</f>
        <v>0</v>
      </c>
      <c r="H37" s="11">
        <f>SUBTOTAL(103,Janvier!$H$7:$H$36)</f>
        <v>0</v>
      </c>
      <c r="I37" s="11">
        <f>SUBTOTAL(103,Janvier!$I$7:$I$36)</f>
        <v>0</v>
      </c>
      <c r="J37" s="11">
        <f>SUBTOTAL(103,Janvier!$J$7:$J$36)</f>
        <v>0</v>
      </c>
      <c r="K37" s="11">
        <f>SUBTOTAL(103,Janvier!$K$7:$K$36)</f>
        <v>0</v>
      </c>
      <c r="L37" s="11">
        <f>SUBTOTAL(103,Janvier!$L$7:$L$36)</f>
        <v>0</v>
      </c>
      <c r="M37" s="11">
        <f>SUBTOTAL(103,Janvier!$M$7:$M$36)</f>
        <v>0</v>
      </c>
      <c r="N37" s="11">
        <f>SUBTOTAL(103,Janvier!$N$7:$N$36)</f>
        <v>0</v>
      </c>
      <c r="O37" s="11">
        <f>SUBTOTAL(103,Janvier!$O$7:$O$36)</f>
        <v>0</v>
      </c>
      <c r="P37" s="11">
        <f>SUBTOTAL(103,Janvier!$P$7:$P$36)</f>
        <v>0</v>
      </c>
      <c r="Q37" s="11">
        <f>SUBTOTAL(103,Janvier!$Q$7:$Q$36)</f>
        <v>0</v>
      </c>
      <c r="R37" s="11">
        <f>SUBTOTAL(103,Janvier!$R$7:$R$36)</f>
        <v>0</v>
      </c>
      <c r="S37" s="11">
        <f>SUBTOTAL(103,Janvier!$S$7:$S$36)</f>
        <v>0</v>
      </c>
      <c r="T37" s="11">
        <f>SUBTOTAL(103,Janvier!$T$7:$T$36)</f>
        <v>0</v>
      </c>
      <c r="U37" s="11">
        <f>SUBTOTAL(103,Janvier!$U$7:$U$36)</f>
        <v>0</v>
      </c>
      <c r="V37" s="11">
        <f>SUBTOTAL(103,Janvier!$V$7:$V$36)</f>
        <v>0</v>
      </c>
      <c r="W37" s="11">
        <f>SUBTOTAL(103,Janvier!$W$7:$W$36)</f>
        <v>0</v>
      </c>
      <c r="X37" s="11">
        <f>SUBTOTAL(103,Janvier!$X$7:$X$36)</f>
        <v>0</v>
      </c>
      <c r="Y37" s="11">
        <f>SUBTOTAL(103,Janvier!$Y$7:$Y$36)</f>
        <v>0</v>
      </c>
      <c r="Z37" s="11">
        <f>SUBTOTAL(103,Janvier!$Z$7:$Z$36)</f>
        <v>0</v>
      </c>
      <c r="AA37" s="11">
        <f>SUBTOTAL(103,Janvier!$AA$7:$AA$36)</f>
        <v>0</v>
      </c>
      <c r="AB37" s="11">
        <f>SUBTOTAL(103,Janvier!$AB$7:$AB$36)</f>
        <v>0</v>
      </c>
      <c r="AC37" s="11">
        <f>SUBTOTAL(103,Janvier!$AC$7:$AC$36)</f>
        <v>0</v>
      </c>
      <c r="AD37" s="11">
        <f>SUBTOTAL(103,Janvier!$AD$7:$AD$36)</f>
        <v>0</v>
      </c>
      <c r="AE37" s="11">
        <f>SUBTOTAL(103,Janvier!$AE$7:$AE$36)</f>
        <v>0</v>
      </c>
      <c r="AF37" s="11">
        <f>SUBTOTAL(103,Janvier!$AF$7:$AF$36)</f>
        <v>0</v>
      </c>
      <c r="AG37" s="11">
        <f>SUBTOTAL(103,Janvier!$AG$7:$AG$36)</f>
        <v>0</v>
      </c>
      <c r="AH37" s="11">
        <f>SUBTOTAL(109,Janvier[Total des jours])</f>
        <v>3</v>
      </c>
    </row>
  </sheetData>
  <mergeCells count="7">
    <mergeCell ref="C4:AG4"/>
    <mergeCell ref="D2:E2"/>
    <mergeCell ref="G2:I2"/>
    <mergeCell ref="K2:L2"/>
    <mergeCell ref="N2:Q2"/>
    <mergeCell ref="S2:V2"/>
    <mergeCell ref="X2:AA2"/>
  </mergeCells>
  <conditionalFormatting sqref="C7:AG36">
    <cfRule type="expression" priority="2" stopIfTrue="1">
      <formula>C7=""</formula>
    </cfRule>
    <cfRule type="expression" dxfId="913" priority="8" stopIfTrue="1">
      <formula>C7=CléPersonnalisée2</formula>
    </cfRule>
    <cfRule type="expression" dxfId="912" priority="9" stopIfTrue="1">
      <formula>C7=CléPersonnalisée1</formula>
    </cfRule>
    <cfRule type="expression" dxfId="911" priority="10" stopIfTrue="1">
      <formula>C7=CléMaladie</formula>
    </cfRule>
    <cfRule type="expression" dxfId="910" priority="11" stopIfTrue="1">
      <formula>C7=CléPersonnel</formula>
    </cfRule>
    <cfRule type="expression" dxfId="909" priority="12" stopIfTrue="1">
      <formula>C7=CléCongé</formula>
    </cfRule>
  </conditionalFormatting>
  <conditionalFormatting sqref="AH7:AH36">
    <cfRule type="dataBar" priority="170">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C7:AG36">
    <cfRule type="expression" dxfId="908" priority="3">
      <formula>C7=CléPersonnalisée3</formula>
    </cfRule>
  </conditionalFormatting>
  <conditionalFormatting sqref="C37:AG37">
    <cfRule type="cellIs" dxfId="907" priority="1" operator="greaterThan">
      <formula>2</formula>
    </cfRule>
  </conditionalFormatting>
  <dataValidations count="15">
    <dataValidation allowBlank="1" showInputMessage="1" showErrorMessage="1" prompt="Entrez l’année dans cette cellule" sqref="AH4"/>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
    <dataValidation allowBlank="1" showInputMessage="1" showErrorMessage="1" prompt="Le titre de la feuille de calcul figure dans cette cellule.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W2"/>
    <dataValidation allowBlank="1" showInputMessage="1" showErrorMessage="1" prompt="Entrez une étiquette pour décrire la clé personnalisée à gauche" sqref="N2 S2 X2"/>
    <dataValidation allowBlank="1" showInputMessage="1" showErrorMessage="1" prompt="Utilisez le calendrier des absences des employés pour noter et suivre les absences des employés chaque mois. Il contient 13 feuilles de calcul, 12 par mois et 1 pour les noms des employés. Suivez les absences de janvier dans cette feuille de calcul" sqref="A1"/>
    <dataValidation allowBlank="1" showInputMessage="1" showErrorMessage="1" prompt="Entrez l’année dans la cellule ci-dessous" sqref="AH3"/>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AH7:AH36</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2" tint="-0.749992370372631"/>
    <pageSetUpPr fitToPage="1"/>
  </sheetPr>
  <dimension ref="A1:AH37"/>
  <sheetViews>
    <sheetView showGridLines="0" zoomScaleNormal="100" workbookViewId="0">
      <pane xSplit="1" ySplit="6" topLeftCell="B7" activePane="bottomRight" state="frozen"/>
      <selection pane="topRight" activeCell="B1" sqref="B1"/>
      <selection pane="bottomLeft" activeCell="A7" sqref="A7"/>
      <selection pane="bottomRight" activeCell="AB1" sqref="AB1"/>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des absences des employés EQ B</v>
      </c>
    </row>
    <row r="2" spans="2:34" ht="15" customHeight="1" x14ac:dyDescent="0.25">
      <c r="B2" s="15" t="s">
        <v>0</v>
      </c>
      <c r="C2" s="3" t="s">
        <v>3</v>
      </c>
      <c r="D2" s="54" t="s">
        <v>6</v>
      </c>
      <c r="E2" s="54"/>
      <c r="F2" s="4" t="s">
        <v>57</v>
      </c>
      <c r="G2" s="53" t="s">
        <v>58</v>
      </c>
      <c r="H2" s="54"/>
      <c r="I2" s="54"/>
      <c r="J2" s="5" t="s">
        <v>10</v>
      </c>
      <c r="K2" s="54" t="s">
        <v>16</v>
      </c>
      <c r="L2" s="54"/>
      <c r="M2" s="6" t="s">
        <v>59</v>
      </c>
      <c r="N2" s="53" t="s">
        <v>60</v>
      </c>
      <c r="O2" s="54"/>
      <c r="P2" s="54"/>
      <c r="Q2" s="54"/>
      <c r="R2" s="7" t="s">
        <v>55</v>
      </c>
      <c r="S2" s="53" t="s">
        <v>56</v>
      </c>
      <c r="T2" s="54"/>
      <c r="U2" s="54"/>
      <c r="V2" s="54"/>
      <c r="W2" s="22" t="s">
        <v>62</v>
      </c>
      <c r="X2" s="53" t="s">
        <v>63</v>
      </c>
      <c r="Y2" s="54"/>
      <c r="Z2" s="54"/>
      <c r="AA2" s="54"/>
    </row>
    <row r="3" spans="2:34" ht="15" customHeight="1" x14ac:dyDescent="0.25">
      <c r="B3"/>
    </row>
    <row r="4" spans="2:34" ht="30" customHeight="1" x14ac:dyDescent="0.25">
      <c r="B4" s="10" t="s">
        <v>41</v>
      </c>
      <c r="C4" s="52" t="s">
        <v>4</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10">
        <f>AnnéeCalendrier</f>
        <v>2019</v>
      </c>
    </row>
    <row r="5" spans="2:34" ht="15" customHeight="1" x14ac:dyDescent="0.25">
      <c r="B5" s="10"/>
      <c r="C5" s="1" t="str">
        <f>TEXT(WEEKDAY(DATE(AnnéeCalendrier,2,1),1),"jjj")</f>
        <v>ven</v>
      </c>
      <c r="D5" s="1" t="str">
        <f>TEXT(WEEKDAY(DATE(AnnéeCalendrier,2,2),1),"jjj")</f>
        <v>sam</v>
      </c>
      <c r="E5" s="1" t="str">
        <f>TEXT(WEEKDAY(DATE(AnnéeCalendrier,2,3),1),"jjj")</f>
        <v>dim</v>
      </c>
      <c r="F5" s="1" t="str">
        <f>TEXT(WEEKDAY(DATE(AnnéeCalendrier,2,4),1),"jjj")</f>
        <v>lun</v>
      </c>
      <c r="G5" s="1" t="str">
        <f>TEXT(WEEKDAY(DATE(AnnéeCalendrier,2,5),1),"jjj")</f>
        <v>mar</v>
      </c>
      <c r="H5" s="1" t="str">
        <f>TEXT(WEEKDAY(DATE(AnnéeCalendrier,2,6),1),"jjj")</f>
        <v>mer</v>
      </c>
      <c r="I5" s="1" t="str">
        <f>TEXT(WEEKDAY(DATE(AnnéeCalendrier,2,7),1),"jjj")</f>
        <v>jeu</v>
      </c>
      <c r="J5" s="1" t="str">
        <f>TEXT(WEEKDAY(DATE(AnnéeCalendrier,2,8),1),"jjj")</f>
        <v>ven</v>
      </c>
      <c r="K5" s="1" t="str">
        <f>TEXT(WEEKDAY(DATE(AnnéeCalendrier,2,9),1),"jjj")</f>
        <v>sam</v>
      </c>
      <c r="L5" s="1" t="str">
        <f>TEXT(WEEKDAY(DATE(AnnéeCalendrier,2,10),1),"jjj")</f>
        <v>dim</v>
      </c>
      <c r="M5" s="1" t="str">
        <f>TEXT(WEEKDAY(DATE(AnnéeCalendrier,2,11),1),"jjj")</f>
        <v>lun</v>
      </c>
      <c r="N5" s="1" t="str">
        <f>TEXT(WEEKDAY(DATE(AnnéeCalendrier,2,12),1),"jjj")</f>
        <v>mar</v>
      </c>
      <c r="O5" s="1" t="str">
        <f>TEXT(WEEKDAY(DATE(AnnéeCalendrier,2,13),1),"jjj")</f>
        <v>mer</v>
      </c>
      <c r="P5" s="1" t="str">
        <f>TEXT(WEEKDAY(DATE(AnnéeCalendrier,2,14),1),"jjj")</f>
        <v>jeu</v>
      </c>
      <c r="Q5" s="1" t="str">
        <f>TEXT(WEEKDAY(DATE(AnnéeCalendrier,2,15),1),"jjj")</f>
        <v>ven</v>
      </c>
      <c r="R5" s="1" t="str">
        <f>TEXT(WEEKDAY(DATE(AnnéeCalendrier,2,16),1),"jjj")</f>
        <v>sam</v>
      </c>
      <c r="S5" s="1" t="str">
        <f>TEXT(WEEKDAY(DATE(AnnéeCalendrier,2,17),1),"jjj")</f>
        <v>dim</v>
      </c>
      <c r="T5" s="1" t="str">
        <f>TEXT(WEEKDAY(DATE(AnnéeCalendrier,2,18),1),"jjj")</f>
        <v>lun</v>
      </c>
      <c r="U5" s="1" t="str">
        <f>TEXT(WEEKDAY(DATE(AnnéeCalendrier,2,19),1),"jjj")</f>
        <v>mar</v>
      </c>
      <c r="V5" s="1" t="str">
        <f>TEXT(WEEKDAY(DATE(AnnéeCalendrier,2,20),1),"jjj")</f>
        <v>mer</v>
      </c>
      <c r="W5" s="1" t="str">
        <f>TEXT(WEEKDAY(DATE(AnnéeCalendrier,2,21),1),"jjj")</f>
        <v>jeu</v>
      </c>
      <c r="X5" s="1" t="str">
        <f>TEXT(WEEKDAY(DATE(AnnéeCalendrier,2,22),1),"jjj")</f>
        <v>ven</v>
      </c>
      <c r="Y5" s="1" t="str">
        <f>TEXT(WEEKDAY(DATE(AnnéeCalendrier,2,23),1),"jjj")</f>
        <v>sam</v>
      </c>
      <c r="Z5" s="1" t="str">
        <f>TEXT(WEEKDAY(DATE(AnnéeCalendrier,2,24),1),"jjj")</f>
        <v>dim</v>
      </c>
      <c r="AA5" s="1" t="str">
        <f>TEXT(WEEKDAY(DATE(AnnéeCalendrier,2,25),1),"jjj")</f>
        <v>lun</v>
      </c>
      <c r="AB5" s="1" t="str">
        <f>TEXT(WEEKDAY(DATE(AnnéeCalendrier,2,26),1),"jjj")</f>
        <v>mar</v>
      </c>
      <c r="AC5" s="1" t="str">
        <f>TEXT(WEEKDAY(DATE(AnnéeCalendrier,2,27),1),"jjj")</f>
        <v>mer</v>
      </c>
      <c r="AD5" s="1" t="str">
        <f>TEXT(WEEKDAY(DATE(AnnéeCalendrier,2,28),1),"jjj")</f>
        <v>jeu</v>
      </c>
      <c r="AE5" s="1" t="str">
        <f>TEXT(WEEKDAY(DATE(AnnéeCalendrier,2,29),1),"jjj")</f>
        <v>ven</v>
      </c>
      <c r="AF5" s="1"/>
      <c r="AG5" s="1"/>
      <c r="AH5" s="10"/>
    </row>
    <row r="6" spans="2:34" ht="15" customHeight="1" x14ac:dyDescent="0.25">
      <c r="B6" s="18" t="s">
        <v>2</v>
      </c>
      <c r="C6" s="2" t="s">
        <v>5</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42</v>
      </c>
      <c r="AG6" s="2" t="s">
        <v>43</v>
      </c>
      <c r="AH6" s="13" t="s">
        <v>40</v>
      </c>
    </row>
    <row r="7" spans="2:34" ht="15" x14ac:dyDescent="0.25">
      <c r="B7" s="19" t="str">
        <f>Paramètre!$A15</f>
        <v>A1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COUNTA(Février[[#This Row],[1]:[29]])</f>
        <v>0</v>
      </c>
    </row>
    <row r="8" spans="2:34" ht="15" x14ac:dyDescent="0.25">
      <c r="B8" s="19" t="str">
        <f>Paramètre!$A16</f>
        <v>A2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COUNTA(Février[[#This Row],[1]:[29]])</f>
        <v>0</v>
      </c>
    </row>
    <row r="9" spans="2:34" ht="15" x14ac:dyDescent="0.25">
      <c r="B9" s="19" t="str">
        <f>Paramètre!$A17</f>
        <v>A3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COUNTA(Février[[#This Row],[1]:[29]])</f>
        <v>0</v>
      </c>
    </row>
    <row r="10" spans="2:34" ht="15" x14ac:dyDescent="0.25">
      <c r="B10" s="19" t="str">
        <f>Paramètre!$A18</f>
        <v>A4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COUNTA(Février[[#This Row],[1]:[29]])</f>
        <v>0</v>
      </c>
    </row>
    <row r="11" spans="2:34" ht="15" x14ac:dyDescent="0.25">
      <c r="B11" s="19" t="str">
        <f>Paramètre!$A19</f>
        <v>A5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COUNTA(Février[[#This Row],[1]:[29]])</f>
        <v>0</v>
      </c>
    </row>
    <row r="12" spans="2:34" ht="15" x14ac:dyDescent="0.25">
      <c r="B12" s="19" t="str">
        <f>Paramètre!$A20</f>
        <v>A6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8">
        <f>COUNTA(Février[[#This Row],[1]:[29]])</f>
        <v>0</v>
      </c>
    </row>
    <row r="13" spans="2:34" ht="15" x14ac:dyDescent="0.25">
      <c r="B13" s="19" t="str">
        <f>Paramètre!$A21</f>
        <v>A7</v>
      </c>
      <c r="C13" s="21"/>
      <c r="D13" s="21"/>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8"/>
      <c r="AG13" s="8"/>
      <c r="AH13" s="8">
        <f>COUNTA(Février[[#This Row],[1]:[29]])</f>
        <v>0</v>
      </c>
    </row>
    <row r="14" spans="2:34" ht="15" x14ac:dyDescent="0.25">
      <c r="B14" s="19" t="str">
        <f>Paramètre!$A22</f>
        <v>A8</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8">
        <f>COUNTA(Février[[#This Row],[1]:[29]])</f>
        <v>0</v>
      </c>
    </row>
    <row r="15" spans="2:34" ht="15" x14ac:dyDescent="0.25">
      <c r="B15" s="19" t="str">
        <f>Paramètre!$A23</f>
        <v>A9</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8">
        <f>COUNTA(Février[[#This Row],[1]:[29]])</f>
        <v>0</v>
      </c>
    </row>
    <row r="16" spans="2:34" ht="15" x14ac:dyDescent="0.25">
      <c r="B16" s="19" t="str">
        <f>Paramètre!$A24</f>
        <v>A10</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8">
        <f>COUNTA(Février[[#This Row],[1]:[29]])</f>
        <v>0</v>
      </c>
    </row>
    <row r="17" spans="2:34" ht="15" x14ac:dyDescent="0.25">
      <c r="B17" s="19" t="str">
        <f>Paramètre!$A25</f>
        <v>A11</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8">
        <f>COUNTA(Février[[#This Row],[1]:[29]])</f>
        <v>0</v>
      </c>
    </row>
    <row r="18" spans="2:34" ht="15" x14ac:dyDescent="0.25">
      <c r="B18" s="19" t="str">
        <f>Paramètre!$A26</f>
        <v>A12</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8">
        <f>COUNTA(Février[[#This Row],[1]:[29]])</f>
        <v>0</v>
      </c>
    </row>
    <row r="19" spans="2:34" ht="15" x14ac:dyDescent="0.25">
      <c r="B19" s="19" t="str">
        <f>Paramètre!$A27</f>
        <v>A13</v>
      </c>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8">
        <f>COUNTA(Février[[#This Row],[1]:[29]])</f>
        <v>0</v>
      </c>
    </row>
    <row r="20" spans="2:34" ht="15" x14ac:dyDescent="0.25">
      <c r="B20" s="19" t="str">
        <f>Paramètre!$A28</f>
        <v>A14</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8">
        <f>COUNTA(Février[[#This Row],[1]:[29]])</f>
        <v>0</v>
      </c>
    </row>
    <row r="21" spans="2:34" ht="15" x14ac:dyDescent="0.25">
      <c r="B21" s="19" t="str">
        <f>Paramètre!$A29</f>
        <v>A15</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8">
        <f>COUNTA(Février[[#This Row],[1]:[29]])</f>
        <v>0</v>
      </c>
    </row>
    <row r="22" spans="2:34" ht="15" x14ac:dyDescent="0.25">
      <c r="B22" s="19" t="str">
        <f>Paramètre!$A30</f>
        <v>A16</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8">
        <f>COUNTA(Février[[#This Row],[1]:[29]])</f>
        <v>0</v>
      </c>
    </row>
    <row r="23" spans="2:34" ht="15" x14ac:dyDescent="0.25">
      <c r="B23" s="19" t="str">
        <f>Paramètre!$A31</f>
        <v>A17</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8">
        <f>COUNTA(Février[[#This Row],[1]:[29]])</f>
        <v>0</v>
      </c>
    </row>
    <row r="24" spans="2:34" ht="15" x14ac:dyDescent="0.25">
      <c r="B24" s="19" t="str">
        <f>Paramètre!$A32</f>
        <v>A18</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8">
        <f>COUNTA(Février[[#This Row],[1]:[29]])</f>
        <v>0</v>
      </c>
    </row>
    <row r="25" spans="2:34" ht="15" x14ac:dyDescent="0.25">
      <c r="B25" s="19" t="str">
        <f>Paramètre!$A33</f>
        <v>A19</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8">
        <f>COUNTA(Février[[#This Row],[1]:[29]])</f>
        <v>0</v>
      </c>
    </row>
    <row r="26" spans="2:34" ht="15" x14ac:dyDescent="0.25">
      <c r="B26" s="19" t="str">
        <f>Paramètre!$A34</f>
        <v>A20</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8">
        <f>COUNTA(Février[[#This Row],[1]:[29]])</f>
        <v>0</v>
      </c>
    </row>
    <row r="27" spans="2:34" ht="15" x14ac:dyDescent="0.25">
      <c r="B27" s="19" t="str">
        <f>Paramètre!$A35</f>
        <v>A21</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8">
        <f>COUNTA(Février[[#This Row],[1]:[29]])</f>
        <v>0</v>
      </c>
    </row>
    <row r="28" spans="2:34" ht="15" x14ac:dyDescent="0.25">
      <c r="B28" s="19" t="str">
        <f>Paramètre!$A36</f>
        <v>A22</v>
      </c>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8">
        <f>COUNTA(Février[[#This Row],[1]:[29]])</f>
        <v>0</v>
      </c>
    </row>
    <row r="29" spans="2:34" ht="15" x14ac:dyDescent="0.25">
      <c r="B29" s="19" t="str">
        <f>Paramètre!$A37</f>
        <v>A23</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8">
        <f>COUNTA(Février[[#This Row],[1]:[29]])</f>
        <v>0</v>
      </c>
    </row>
    <row r="30" spans="2:34" ht="15" x14ac:dyDescent="0.25">
      <c r="B30" s="19" t="str">
        <f>Paramètre!$A38</f>
        <v>A24</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8">
        <f>COUNTA(Février[[#This Row],[1]:[29]])</f>
        <v>0</v>
      </c>
    </row>
    <row r="31" spans="2:34" ht="15" x14ac:dyDescent="0.25">
      <c r="B31" s="19" t="str">
        <f>Paramètre!$A39</f>
        <v>A25</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8">
        <f>COUNTA(Février[[#This Row],[1]:[29]])</f>
        <v>0</v>
      </c>
    </row>
    <row r="32" spans="2:34" ht="15" x14ac:dyDescent="0.25">
      <c r="B32" s="19" t="str">
        <f>Paramètre!$A40</f>
        <v>A26</v>
      </c>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8">
        <f>COUNTA(Février[[#This Row],[1]:[29]])</f>
        <v>0</v>
      </c>
    </row>
    <row r="33" spans="2:34" ht="15" x14ac:dyDescent="0.25">
      <c r="B33" s="19" t="str">
        <f>Paramètre!$A41</f>
        <v>A27</v>
      </c>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8">
        <f>COUNTA(Février[[#This Row],[1]:[29]])</f>
        <v>0</v>
      </c>
    </row>
    <row r="34" spans="2:34" ht="15" x14ac:dyDescent="0.25">
      <c r="B34" s="19" t="str">
        <f>Paramètre!$A42</f>
        <v>A28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8">
        <f>COUNTA(Février[[#This Row],[1]:[29]])</f>
        <v>0</v>
      </c>
    </row>
    <row r="35" spans="2:34" ht="15" x14ac:dyDescent="0.25">
      <c r="B35" s="19" t="str">
        <f>Paramètre!$A43</f>
        <v>A29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8">
        <f>COUNTA(Février[[#This Row],[1]:[29]])</f>
        <v>0</v>
      </c>
    </row>
    <row r="36" spans="2:34" ht="15" x14ac:dyDescent="0.25">
      <c r="B36" s="19" t="str">
        <f>Paramètre!$A44</f>
        <v>A30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8">
        <f>COUNTA(Février[[#This Row],[1]:[29]])</f>
        <v>0</v>
      </c>
    </row>
    <row r="37" spans="2:34" ht="30" customHeight="1" x14ac:dyDescent="0.25">
      <c r="B37" s="17" t="str">
        <f>NomMois&amp;" Total"</f>
        <v>Février Total</v>
      </c>
      <c r="C37" s="11">
        <f>SUBTOTAL(103,Février[1])</f>
        <v>0</v>
      </c>
      <c r="D37" s="11">
        <f>SUBTOTAL(103,Février[2])</f>
        <v>0</v>
      </c>
      <c r="E37" s="11">
        <f>SUBTOTAL(103,Février[3])</f>
        <v>0</v>
      </c>
      <c r="F37" s="11">
        <f>SUBTOTAL(103,Février[4])</f>
        <v>0</v>
      </c>
      <c r="G37" s="11">
        <f>SUBTOTAL(103,Février[5])</f>
        <v>0</v>
      </c>
      <c r="H37" s="11">
        <f>SUBTOTAL(103,Février[6])</f>
        <v>0</v>
      </c>
      <c r="I37" s="11">
        <f>SUBTOTAL(103,Février[7])</f>
        <v>0</v>
      </c>
      <c r="J37" s="11">
        <f>SUBTOTAL(103,Février[8])</f>
        <v>0</v>
      </c>
      <c r="K37" s="11">
        <f>SUBTOTAL(103,Février[9])</f>
        <v>0</v>
      </c>
      <c r="L37" s="11">
        <f>SUBTOTAL(103,Février[10])</f>
        <v>0</v>
      </c>
      <c r="M37" s="11">
        <f>SUBTOTAL(103,Février[11])</f>
        <v>0</v>
      </c>
      <c r="N37" s="11">
        <f>SUBTOTAL(103,Février[12])</f>
        <v>0</v>
      </c>
      <c r="O37" s="11">
        <f>SUBTOTAL(103,Février[13])</f>
        <v>0</v>
      </c>
      <c r="P37" s="11">
        <f>SUBTOTAL(103,Février[14])</f>
        <v>0</v>
      </c>
      <c r="Q37" s="11">
        <f>SUBTOTAL(103,Février[15])</f>
        <v>0</v>
      </c>
      <c r="R37" s="11">
        <f>SUBTOTAL(103,Février[16])</f>
        <v>0</v>
      </c>
      <c r="S37" s="11">
        <f>SUBTOTAL(103,Février[17])</f>
        <v>0</v>
      </c>
      <c r="T37" s="11">
        <f>SUBTOTAL(103,Février[18])</f>
        <v>0</v>
      </c>
      <c r="U37" s="11">
        <f>SUBTOTAL(103,Février[19])</f>
        <v>0</v>
      </c>
      <c r="V37" s="11">
        <f>SUBTOTAL(103,Février[20])</f>
        <v>0</v>
      </c>
      <c r="W37" s="11">
        <f>SUBTOTAL(103,Février[21])</f>
        <v>0</v>
      </c>
      <c r="X37" s="11">
        <f>SUBTOTAL(103,Février[22])</f>
        <v>0</v>
      </c>
      <c r="Y37" s="11">
        <f>SUBTOTAL(103,Février[23])</f>
        <v>0</v>
      </c>
      <c r="Z37" s="11">
        <f>SUBTOTAL(103,Février[24])</f>
        <v>0</v>
      </c>
      <c r="AA37" s="11">
        <f>SUBTOTAL(103,Février[25])</f>
        <v>0</v>
      </c>
      <c r="AB37" s="11">
        <f>SUBTOTAL(103,Février[26])</f>
        <v>0</v>
      </c>
      <c r="AC37" s="11">
        <f>SUBTOTAL(103,Février[27])</f>
        <v>0</v>
      </c>
      <c r="AD37" s="11">
        <f>SUBTOTAL(103,Février[28])</f>
        <v>0</v>
      </c>
      <c r="AE37" s="11">
        <f>SUBTOTAL(103,Février[29])</f>
        <v>0</v>
      </c>
      <c r="AF37" s="11"/>
      <c r="AG37" s="11"/>
      <c r="AH37" s="11">
        <f>SUBTOTAL(109,Février[Total des jours])</f>
        <v>0</v>
      </c>
    </row>
  </sheetData>
  <mergeCells count="7">
    <mergeCell ref="C4:AG4"/>
    <mergeCell ref="D2:E2"/>
    <mergeCell ref="G2:I2"/>
    <mergeCell ref="K2:L2"/>
    <mergeCell ref="N2:Q2"/>
    <mergeCell ref="S2:V2"/>
    <mergeCell ref="X2:AA2"/>
  </mergeCells>
  <conditionalFormatting sqref="AE6">
    <cfRule type="expression" dxfId="837" priority="25">
      <formula>MONTH(DATE(AnnéeCalendrier,2,29))&lt;&gt;2</formula>
    </cfRule>
  </conditionalFormatting>
  <conditionalFormatting sqref="AE5">
    <cfRule type="expression" dxfId="836" priority="24">
      <formula>MONTH(DATE(AnnéeCalendrier,2,29))&lt;&gt;2</formula>
    </cfRule>
  </conditionalFormatting>
  <conditionalFormatting sqref="AH7:AH36">
    <cfRule type="dataBar" priority="162">
      <dataBar>
        <cfvo type="min"/>
        <cfvo type="formula" val="DATEDIF(DATE(CalendarYear,2,1),DATE(CalendarYear,3,1),&quot;d&quot;)"/>
        <color theme="2" tint="-0.249977111117893"/>
      </dataBar>
      <extLst>
        <ext xmlns:x14="http://schemas.microsoft.com/office/spreadsheetml/2009/9/main" uri="{B025F937-C7B1-47D3-B67F-A62EFF666E3E}">
          <x14:id>{94738C71-AB78-40C3-A818-D083AE35CC38}</x14:id>
        </ext>
      </extLst>
    </cfRule>
  </conditionalFormatting>
  <conditionalFormatting sqref="C7:AG36">
    <cfRule type="expression" priority="2" stopIfTrue="1">
      <formula>C7=""</formula>
    </cfRule>
    <cfRule type="expression" dxfId="835" priority="4" stopIfTrue="1">
      <formula>C7=CléPersonnalisée2</formula>
    </cfRule>
    <cfRule type="expression" dxfId="834" priority="5" stopIfTrue="1">
      <formula>C7=CléPersonnalisée1</formula>
    </cfRule>
    <cfRule type="expression" dxfId="833" priority="6" stopIfTrue="1">
      <formula>C7=CléMaladie</formula>
    </cfRule>
    <cfRule type="expression" dxfId="832" priority="7" stopIfTrue="1">
      <formula>C7=CléPersonnel</formula>
    </cfRule>
    <cfRule type="expression" dxfId="831" priority="8" stopIfTrue="1">
      <formula>C7=CléCongé</formula>
    </cfRule>
  </conditionalFormatting>
  <conditionalFormatting sqref="C7:AG36">
    <cfRule type="expression" dxfId="830" priority="3">
      <formula>C7=CléPersonnalisée3</formula>
    </cfRule>
  </conditionalFormatting>
  <conditionalFormatting sqref="C37:AG37">
    <cfRule type="cellIs" dxfId="829" priority="1" operator="greaterThan">
      <formula>2</formula>
    </cfRule>
  </conditionalFormatting>
  <dataValidations xWindow="232" yWindow="365" count="15">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février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Entrez une étiquette pour décrire la clé personnalisée à gauche" sqref="N2 S2 X2"/>
    <dataValidation allowBlank="1" showInputMessage="1" showErrorMessage="1" prompt="Entrez une lettre et personnalisez l’étiquette à droite pour ajouter un élément de clé" sqref="M2 R2 W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type="list" allowBlank="1" showInputMessage="1" showErrorMessage="1" sqref="B7:B36">
      <formula1>#REF!</formula1>
    </dataValidation>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DATEDIF(DATE(CalendarYear,2,1),DATE(CalendarYear,3,1),"d")</xm:f>
              </x14:cfvo>
              <x14:negativeFillColor rgb="FFFF0000"/>
              <x14:axisColor rgb="FF000000"/>
            </x14:dataBar>
          </x14:cfRule>
          <xm:sqref>AH7:AH36</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2" tint="-0.499984740745262"/>
    <pageSetUpPr fitToPage="1"/>
  </sheetPr>
  <dimension ref="A1:AH37"/>
  <sheetViews>
    <sheetView showGridLines="0" zoomScale="90" zoomScaleNormal="90" workbookViewId="0">
      <pane xSplit="1" ySplit="6" topLeftCell="B24" activePane="bottomRight" state="frozen"/>
      <selection pane="topRight" activeCell="B1" sqref="B1"/>
      <selection pane="bottomLeft" activeCell="A7" sqref="A7"/>
      <selection pane="bottomRight" activeCell="AJ4" sqref="AJ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des absences des employés EQ B</v>
      </c>
    </row>
    <row r="2" spans="2:34" ht="15" customHeight="1" x14ac:dyDescent="0.25">
      <c r="B2" s="15" t="s">
        <v>0</v>
      </c>
      <c r="C2" s="3" t="s">
        <v>3</v>
      </c>
      <c r="D2" s="54" t="s">
        <v>6</v>
      </c>
      <c r="E2" s="54"/>
      <c r="F2" s="4" t="s">
        <v>57</v>
      </c>
      <c r="G2" s="53" t="s">
        <v>58</v>
      </c>
      <c r="H2" s="54"/>
      <c r="I2" s="54"/>
      <c r="J2" s="5" t="s">
        <v>10</v>
      </c>
      <c r="K2" s="54" t="s">
        <v>16</v>
      </c>
      <c r="L2" s="54"/>
      <c r="M2" s="6" t="s">
        <v>59</v>
      </c>
      <c r="N2" s="53" t="s">
        <v>60</v>
      </c>
      <c r="O2" s="54"/>
      <c r="P2" s="54"/>
      <c r="Q2" s="54"/>
      <c r="R2" s="7" t="s">
        <v>55</v>
      </c>
      <c r="S2" s="53" t="s">
        <v>56</v>
      </c>
      <c r="T2" s="54"/>
      <c r="U2" s="54"/>
      <c r="V2" s="54"/>
      <c r="W2" s="22" t="s">
        <v>62</v>
      </c>
      <c r="X2" s="53" t="s">
        <v>63</v>
      </c>
      <c r="Y2" s="54"/>
      <c r="Z2" s="54"/>
      <c r="AA2" s="54"/>
    </row>
    <row r="3" spans="2:34" ht="15" customHeight="1" x14ac:dyDescent="0.25">
      <c r="B3" s="12"/>
    </row>
    <row r="4" spans="2:34" ht="30" customHeight="1" x14ac:dyDescent="0.25">
      <c r="B4" s="10" t="s">
        <v>44</v>
      </c>
      <c r="C4" s="52" t="s">
        <v>4</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10">
        <f>AnnéeCalendrier</f>
        <v>2019</v>
      </c>
    </row>
    <row r="5" spans="2:34" ht="15" customHeight="1" x14ac:dyDescent="0.25">
      <c r="B5" s="10"/>
      <c r="C5" s="1" t="str">
        <f>TEXT(WEEKDAY(DATE(AnnéeCalendrier,3,1),1),"jjj")</f>
        <v>ven</v>
      </c>
      <c r="D5" s="1" t="str">
        <f>TEXT(WEEKDAY(DATE(AnnéeCalendrier,3,2),1),"jjj")</f>
        <v>sam</v>
      </c>
      <c r="E5" s="1" t="str">
        <f>TEXT(WEEKDAY(DATE(AnnéeCalendrier,3,3),1),"jjj")</f>
        <v>dim</v>
      </c>
      <c r="F5" s="1" t="str">
        <f>TEXT(WEEKDAY(DATE(AnnéeCalendrier,3,4),1),"jjj")</f>
        <v>lun</v>
      </c>
      <c r="G5" s="1" t="str">
        <f>TEXT(WEEKDAY(DATE(AnnéeCalendrier,3,5),1),"jjj")</f>
        <v>mar</v>
      </c>
      <c r="H5" s="1" t="str">
        <f>TEXT(WEEKDAY(DATE(AnnéeCalendrier,3,6),1),"jjj")</f>
        <v>mer</v>
      </c>
      <c r="I5" s="1" t="str">
        <f>TEXT(WEEKDAY(DATE(AnnéeCalendrier,3,7),1),"jjj")</f>
        <v>jeu</v>
      </c>
      <c r="J5" s="1" t="str">
        <f>TEXT(WEEKDAY(DATE(AnnéeCalendrier,3,8),1),"jjj")</f>
        <v>ven</v>
      </c>
      <c r="K5" s="1" t="str">
        <f>TEXT(WEEKDAY(DATE(AnnéeCalendrier,3,9),1),"jjj")</f>
        <v>sam</v>
      </c>
      <c r="L5" s="1" t="str">
        <f>TEXT(WEEKDAY(DATE(AnnéeCalendrier,3,10),1),"jjj")</f>
        <v>dim</v>
      </c>
      <c r="M5" s="1" t="str">
        <f>TEXT(WEEKDAY(DATE(AnnéeCalendrier,3,11),1),"jjj")</f>
        <v>lun</v>
      </c>
      <c r="N5" s="1" t="str">
        <f>TEXT(WEEKDAY(DATE(AnnéeCalendrier,3,12),1),"jjj")</f>
        <v>mar</v>
      </c>
      <c r="O5" s="1" t="str">
        <f>TEXT(WEEKDAY(DATE(AnnéeCalendrier,3,13),1),"jjj")</f>
        <v>mer</v>
      </c>
      <c r="P5" s="1" t="str">
        <f>TEXT(WEEKDAY(DATE(AnnéeCalendrier,3,14),1),"jjj")</f>
        <v>jeu</v>
      </c>
      <c r="Q5" s="1" t="str">
        <f>TEXT(WEEKDAY(DATE(AnnéeCalendrier,3,15),1),"jjj")</f>
        <v>ven</v>
      </c>
      <c r="R5" s="1" t="str">
        <f>TEXT(WEEKDAY(DATE(AnnéeCalendrier,3,16),1),"jjj")</f>
        <v>sam</v>
      </c>
      <c r="S5" s="1" t="str">
        <f>TEXT(WEEKDAY(DATE(AnnéeCalendrier,3,17),1),"jjj")</f>
        <v>dim</v>
      </c>
      <c r="T5" s="1" t="str">
        <f>TEXT(WEEKDAY(DATE(AnnéeCalendrier,3,18),1),"jjj")</f>
        <v>lun</v>
      </c>
      <c r="U5" s="1" t="str">
        <f>TEXT(WEEKDAY(DATE(AnnéeCalendrier,3,19),1),"jjj")</f>
        <v>mar</v>
      </c>
      <c r="V5" s="1" t="str">
        <f>TEXT(WEEKDAY(DATE(AnnéeCalendrier,3,20),1),"jjj")</f>
        <v>mer</v>
      </c>
      <c r="W5" s="1" t="str">
        <f>TEXT(WEEKDAY(DATE(AnnéeCalendrier,3,21),1),"jjj")</f>
        <v>jeu</v>
      </c>
      <c r="X5" s="1" t="str">
        <f>TEXT(WEEKDAY(DATE(AnnéeCalendrier,3,22),1),"jjj")</f>
        <v>ven</v>
      </c>
      <c r="Y5" s="1" t="str">
        <f>TEXT(WEEKDAY(DATE(AnnéeCalendrier,3,23),1),"jjj")</f>
        <v>sam</v>
      </c>
      <c r="Z5" s="1" t="str">
        <f>TEXT(WEEKDAY(DATE(AnnéeCalendrier,3,24),1),"jjj")</f>
        <v>dim</v>
      </c>
      <c r="AA5" s="1" t="str">
        <f>TEXT(WEEKDAY(DATE(AnnéeCalendrier,3,25),1),"jjj")</f>
        <v>lun</v>
      </c>
      <c r="AB5" s="1" t="str">
        <f>TEXT(WEEKDAY(DATE(AnnéeCalendrier,3,26),1),"jjj")</f>
        <v>mar</v>
      </c>
      <c r="AC5" s="1" t="str">
        <f>TEXT(WEEKDAY(DATE(AnnéeCalendrier,3,27),1),"jjj")</f>
        <v>mer</v>
      </c>
      <c r="AD5" s="1" t="str">
        <f>TEXT(WEEKDAY(DATE(AnnéeCalendrier,3,28),1),"jjj")</f>
        <v>jeu</v>
      </c>
      <c r="AE5" s="1" t="str">
        <f>TEXT(WEEKDAY(DATE(AnnéeCalendrier,3,29),1),"jjj")</f>
        <v>ven</v>
      </c>
      <c r="AF5" s="1" t="str">
        <f>TEXT(WEEKDAY(DATE(AnnéeCalendrier,3,30),1),"jjj")</f>
        <v>sam</v>
      </c>
      <c r="AG5" s="1" t="str">
        <f>TEXT(WEEKDAY(DATE(AnnéeCalendrier,3,31),1),"jjj")</f>
        <v>dim</v>
      </c>
      <c r="AH5" s="10"/>
    </row>
    <row r="6" spans="2:34" ht="15" customHeight="1" x14ac:dyDescent="0.25">
      <c r="B6" s="18" t="s">
        <v>2</v>
      </c>
      <c r="C6" s="2" t="s">
        <v>5</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15" x14ac:dyDescent="0.25">
      <c r="B7" s="19" t="str">
        <f>Paramètre!$A15</f>
        <v>A1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COUNTA(Mars[[#This Row],[1]:[31]])</f>
        <v>0</v>
      </c>
    </row>
    <row r="8" spans="2:34" ht="15" x14ac:dyDescent="0.25">
      <c r="B8" s="19" t="str">
        <f>Paramètre!$A16</f>
        <v>A2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COUNTA(Mars[[#This Row],[1]:[31]])</f>
        <v>0</v>
      </c>
    </row>
    <row r="9" spans="2:34" ht="15" x14ac:dyDescent="0.25">
      <c r="B9" s="19" t="str">
        <f>Paramètre!$A17</f>
        <v>A3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COUNTA(Mars[[#This Row],[1]:[31]])</f>
        <v>0</v>
      </c>
    </row>
    <row r="10" spans="2:34" ht="15" x14ac:dyDescent="0.25">
      <c r="B10" s="19" t="str">
        <f>Paramètre!$A18</f>
        <v>A4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COUNTA(Mars[[#This Row],[1]:[31]])</f>
        <v>0</v>
      </c>
    </row>
    <row r="11" spans="2:34" ht="15" x14ac:dyDescent="0.25">
      <c r="B11" s="19" t="str">
        <f>Paramètre!$A19</f>
        <v>A5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COUNTA(Mars[[#This Row],[1]:[31]])</f>
        <v>0</v>
      </c>
    </row>
    <row r="12" spans="2:34" ht="15" x14ac:dyDescent="0.25">
      <c r="B12" s="19" t="str">
        <f>Paramètre!$A20</f>
        <v>A6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8">
        <f>COUNTA(Mars[[#This Row],[1]:[31]])</f>
        <v>0</v>
      </c>
    </row>
    <row r="13" spans="2:34" ht="15" x14ac:dyDescent="0.25">
      <c r="B13" s="19" t="str">
        <f>Paramètre!$A21</f>
        <v>A7</v>
      </c>
      <c r="C13" s="21"/>
      <c r="D13" s="21"/>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8"/>
      <c r="AG13" s="8"/>
      <c r="AH13" s="8">
        <f>COUNTA(Mars[[#This Row],[1]:[31]])</f>
        <v>0</v>
      </c>
    </row>
    <row r="14" spans="2:34" ht="15" x14ac:dyDescent="0.25">
      <c r="B14" s="19" t="str">
        <f>Paramètre!$A22</f>
        <v>A8</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8">
        <f>COUNTA(Mars[[#This Row],[1]:[31]])</f>
        <v>0</v>
      </c>
    </row>
    <row r="15" spans="2:34" ht="15" x14ac:dyDescent="0.25">
      <c r="B15" s="19" t="str">
        <f>Paramètre!$A23</f>
        <v>A9</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8">
        <f>COUNTA(Mars[[#This Row],[1]:[31]])</f>
        <v>0</v>
      </c>
    </row>
    <row r="16" spans="2:34" ht="15" x14ac:dyDescent="0.25">
      <c r="B16" s="19" t="str">
        <f>Paramètre!$A24</f>
        <v>A10</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8">
        <f>COUNTA(Mars[[#This Row],[1]:[31]])</f>
        <v>0</v>
      </c>
    </row>
    <row r="17" spans="2:34" ht="15" x14ac:dyDescent="0.25">
      <c r="B17" s="19" t="str">
        <f>Paramètre!$A25</f>
        <v>A11</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8">
        <f>COUNTA(Mars[[#This Row],[1]:[31]])</f>
        <v>0</v>
      </c>
    </row>
    <row r="18" spans="2:34" ht="15" x14ac:dyDescent="0.25">
      <c r="B18" s="19" t="str">
        <f>Paramètre!$A26</f>
        <v>A12</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8">
        <f>COUNTA(Mars[[#This Row],[1]:[31]])</f>
        <v>0</v>
      </c>
    </row>
    <row r="19" spans="2:34" ht="15" x14ac:dyDescent="0.25">
      <c r="B19" s="19" t="str">
        <f>Paramètre!$A27</f>
        <v>A13</v>
      </c>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8">
        <f>COUNTA(Mars[[#This Row],[1]:[31]])</f>
        <v>0</v>
      </c>
    </row>
    <row r="20" spans="2:34" ht="15" x14ac:dyDescent="0.25">
      <c r="B20" s="19" t="str">
        <f>Paramètre!$A28</f>
        <v>A14</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8">
        <f>COUNTA(Mars[[#This Row],[1]:[31]])</f>
        <v>0</v>
      </c>
    </row>
    <row r="21" spans="2:34" ht="15" x14ac:dyDescent="0.25">
      <c r="B21" s="19" t="str">
        <f>Paramètre!$A29</f>
        <v>A15</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8">
        <f>COUNTA(Mars[[#This Row],[1]:[31]])</f>
        <v>0</v>
      </c>
    </row>
    <row r="22" spans="2:34" ht="15" x14ac:dyDescent="0.25">
      <c r="B22" s="19" t="str">
        <f>Paramètre!$A30</f>
        <v>A16</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8">
        <f>COUNTA(Mars[[#This Row],[1]:[31]])</f>
        <v>0</v>
      </c>
    </row>
    <row r="23" spans="2:34" ht="15" x14ac:dyDescent="0.25">
      <c r="B23" s="19" t="str">
        <f>Paramètre!$A31</f>
        <v>A17</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8">
        <f>COUNTA(Mars[[#This Row],[1]:[31]])</f>
        <v>0</v>
      </c>
    </row>
    <row r="24" spans="2:34" ht="15" x14ac:dyDescent="0.25">
      <c r="B24" s="19" t="str">
        <f>Paramètre!$A32</f>
        <v>A18</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8">
        <f>COUNTA(Mars[[#This Row],[1]:[31]])</f>
        <v>0</v>
      </c>
    </row>
    <row r="25" spans="2:34" ht="15" x14ac:dyDescent="0.25">
      <c r="B25" s="19" t="str">
        <f>Paramètre!$A33</f>
        <v>A19</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8">
        <f>COUNTA(Mars[[#This Row],[1]:[31]])</f>
        <v>0</v>
      </c>
    </row>
    <row r="26" spans="2:34" ht="15" x14ac:dyDescent="0.25">
      <c r="B26" s="19" t="str">
        <f>Paramètre!$A34</f>
        <v>A20</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8">
        <f>COUNTA(Mars[[#This Row],[1]:[31]])</f>
        <v>0</v>
      </c>
    </row>
    <row r="27" spans="2:34" ht="15" x14ac:dyDescent="0.25">
      <c r="B27" s="19" t="str">
        <f>Paramètre!$A35</f>
        <v>A21</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8">
        <f>COUNTA(Mars[[#This Row],[1]:[31]])</f>
        <v>0</v>
      </c>
    </row>
    <row r="28" spans="2:34" ht="15" x14ac:dyDescent="0.25">
      <c r="B28" s="19" t="str">
        <f>Paramètre!$A36</f>
        <v>A22</v>
      </c>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8">
        <f>COUNTA(Mars[[#This Row],[1]:[31]])</f>
        <v>0</v>
      </c>
    </row>
    <row r="29" spans="2:34" ht="15" x14ac:dyDescent="0.25">
      <c r="B29" s="19" t="str">
        <f>Paramètre!$A37</f>
        <v>A23</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8">
        <f>COUNTA(Mars[[#This Row],[1]:[31]])</f>
        <v>0</v>
      </c>
    </row>
    <row r="30" spans="2:34" ht="15" x14ac:dyDescent="0.25">
      <c r="B30" s="19" t="str">
        <f>Paramètre!$A38</f>
        <v>A24</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8">
        <f>COUNTA(Mars[[#This Row],[1]:[31]])</f>
        <v>0</v>
      </c>
    </row>
    <row r="31" spans="2:34" ht="15" x14ac:dyDescent="0.25">
      <c r="B31" s="19" t="str">
        <f>Paramètre!$A39</f>
        <v>A25</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8">
        <f>COUNTA(Mars[[#This Row],[1]:[31]])</f>
        <v>0</v>
      </c>
    </row>
    <row r="32" spans="2:34" ht="15" x14ac:dyDescent="0.25">
      <c r="B32" s="19" t="str">
        <f>Paramètre!$A40</f>
        <v>A26</v>
      </c>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8">
        <f>COUNTA(Mars[[#This Row],[1]:[31]])</f>
        <v>0</v>
      </c>
    </row>
    <row r="33" spans="2:34" ht="15" x14ac:dyDescent="0.25">
      <c r="B33" s="19" t="str">
        <f>Paramètre!$A41</f>
        <v>A27</v>
      </c>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8">
        <f>COUNTA(Mars[[#This Row],[1]:[31]])</f>
        <v>0</v>
      </c>
    </row>
    <row r="34" spans="2:34" ht="15" x14ac:dyDescent="0.25">
      <c r="B34" s="19" t="str">
        <f>Paramètre!$A42</f>
        <v>A28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8">
        <f>COUNTA(Mars[[#This Row],[1]:[31]])</f>
        <v>0</v>
      </c>
    </row>
    <row r="35" spans="2:34" ht="15" x14ac:dyDescent="0.25">
      <c r="B35" s="19" t="str">
        <f>Paramètre!$A43</f>
        <v>A29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8">
        <f>COUNTA(Mars[[#This Row],[1]:[31]])</f>
        <v>0</v>
      </c>
    </row>
    <row r="36" spans="2:34" ht="15" x14ac:dyDescent="0.25">
      <c r="B36" s="19" t="str">
        <f>Paramètre!$A44</f>
        <v>A30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8">
        <f>COUNTA(Mars[[#This Row],[1]:[31]])</f>
        <v>0</v>
      </c>
    </row>
    <row r="37" spans="2:34" ht="30" customHeight="1" x14ac:dyDescent="0.25">
      <c r="B37" s="17" t="str">
        <f>NomMois&amp;" Total"</f>
        <v>Mars Total</v>
      </c>
      <c r="C37" s="11">
        <f>SUBTOTAL(103,Mars[1])</f>
        <v>0</v>
      </c>
      <c r="D37" s="11">
        <f>SUBTOTAL(103,Mars[2])</f>
        <v>0</v>
      </c>
      <c r="E37" s="11">
        <f>SUBTOTAL(103,Mars[3])</f>
        <v>0</v>
      </c>
      <c r="F37" s="11">
        <f>SUBTOTAL(103,Mars[4])</f>
        <v>0</v>
      </c>
      <c r="G37" s="11">
        <f>SUBTOTAL(103,Mars[5])</f>
        <v>0</v>
      </c>
      <c r="H37" s="11">
        <f>SUBTOTAL(103,Mars[6])</f>
        <v>0</v>
      </c>
      <c r="I37" s="11">
        <f>SUBTOTAL(103,Mars[7])</f>
        <v>0</v>
      </c>
      <c r="J37" s="11">
        <f>SUBTOTAL(103,Mars[8])</f>
        <v>0</v>
      </c>
      <c r="K37" s="11">
        <f>SUBTOTAL(103,Mars[9])</f>
        <v>0</v>
      </c>
      <c r="L37" s="11">
        <f>SUBTOTAL(103,Mars[10])</f>
        <v>0</v>
      </c>
      <c r="M37" s="11">
        <f>SUBTOTAL(103,Mars[11])</f>
        <v>0</v>
      </c>
      <c r="N37" s="11">
        <f>SUBTOTAL(103,Mars[12])</f>
        <v>0</v>
      </c>
      <c r="O37" s="11">
        <f>SUBTOTAL(103,Mars[13])</f>
        <v>0</v>
      </c>
      <c r="P37" s="11">
        <f>SUBTOTAL(103,Mars[14])</f>
        <v>0</v>
      </c>
      <c r="Q37" s="11">
        <f>SUBTOTAL(103,Mars[15])</f>
        <v>0</v>
      </c>
      <c r="R37" s="11">
        <f>SUBTOTAL(103,Mars[16])</f>
        <v>0</v>
      </c>
      <c r="S37" s="11">
        <f>SUBTOTAL(103,Mars[17])</f>
        <v>0</v>
      </c>
      <c r="T37" s="11">
        <f>SUBTOTAL(103,Mars[18])</f>
        <v>0</v>
      </c>
      <c r="U37" s="11">
        <f>SUBTOTAL(103,Mars[19])</f>
        <v>0</v>
      </c>
      <c r="V37" s="11">
        <f>SUBTOTAL(103,Mars[20])</f>
        <v>0</v>
      </c>
      <c r="W37" s="11">
        <f>SUBTOTAL(103,Mars[21])</f>
        <v>0</v>
      </c>
      <c r="X37" s="11">
        <f>SUBTOTAL(103,Mars[22])</f>
        <v>0</v>
      </c>
      <c r="Y37" s="11">
        <f>SUBTOTAL(103,Mars[23])</f>
        <v>0</v>
      </c>
      <c r="Z37" s="11">
        <f>SUBTOTAL(103,Mars[24])</f>
        <v>0</v>
      </c>
      <c r="AA37" s="11">
        <f>SUBTOTAL(103,Mars[25])</f>
        <v>0</v>
      </c>
      <c r="AB37" s="11">
        <f>SUBTOTAL(103,Mars[26])</f>
        <v>0</v>
      </c>
      <c r="AC37" s="11">
        <f>SUBTOTAL(103,Mars[27])</f>
        <v>0</v>
      </c>
      <c r="AD37" s="11">
        <f>SUBTOTAL(103,Mars[28])</f>
        <v>0</v>
      </c>
      <c r="AE37" s="11">
        <f>SUBTOTAL(103,Mars[29])</f>
        <v>0</v>
      </c>
      <c r="AF37" s="11">
        <f>SUBTOTAL(109,Mars[30])</f>
        <v>0</v>
      </c>
      <c r="AG37" s="11">
        <f>SUBTOTAL(109,Mars[31])</f>
        <v>0</v>
      </c>
      <c r="AH37" s="11">
        <f>SUBTOTAL(109,Mars[Total des jours])</f>
        <v>0</v>
      </c>
    </row>
  </sheetData>
  <mergeCells count="7">
    <mergeCell ref="C4:AG4"/>
    <mergeCell ref="D2:E2"/>
    <mergeCell ref="G2:I2"/>
    <mergeCell ref="K2:L2"/>
    <mergeCell ref="N2:Q2"/>
    <mergeCell ref="S2:V2"/>
    <mergeCell ref="X2:AA2"/>
  </mergeCells>
  <conditionalFormatting sqref="AH7:AH36">
    <cfRule type="dataBar" priority="16">
      <dataBar>
        <cfvo type="min"/>
        <cfvo type="formula" val="DATEDIF(DATE(CalendarYear,2,1),DATE(CalendarYear,3,1),&quot;d&quot;)"/>
        <color theme="2" tint="-0.249977111117893"/>
      </dataBar>
      <extLst>
        <ext xmlns:x14="http://schemas.microsoft.com/office/spreadsheetml/2009/9/main" uri="{B025F937-C7B1-47D3-B67F-A62EFF666E3E}">
          <x14:id>{7C2B6C3E-666E-4369-8C57-FD32A7D03A3C}</x14:id>
        </ext>
      </extLst>
    </cfRule>
  </conditionalFormatting>
  <conditionalFormatting sqref="C7:AG36">
    <cfRule type="expression" priority="2" stopIfTrue="1">
      <formula>C7=""</formula>
    </cfRule>
    <cfRule type="expression" dxfId="759" priority="4" stopIfTrue="1">
      <formula>C7=CléPersonnalisée2</formula>
    </cfRule>
    <cfRule type="expression" dxfId="758" priority="5" stopIfTrue="1">
      <formula>C7=CléPersonnalisée1</formula>
    </cfRule>
    <cfRule type="expression" dxfId="757" priority="6" stopIfTrue="1">
      <formula>C7=CléMaladie</formula>
    </cfRule>
    <cfRule type="expression" dxfId="756" priority="7" stopIfTrue="1">
      <formula>C7=CléPersonnel</formula>
    </cfRule>
    <cfRule type="expression" dxfId="755" priority="8" stopIfTrue="1">
      <formula>C7=CléCongé</formula>
    </cfRule>
  </conditionalFormatting>
  <conditionalFormatting sqref="C7:AG36">
    <cfRule type="expression" dxfId="754" priority="3">
      <formula>C7=CléPersonnalisée3</formula>
    </cfRule>
  </conditionalFormatting>
  <conditionalFormatting sqref="C37:AG37">
    <cfRule type="cellIs" dxfId="753" priority="1" operator="greaterThan">
      <formula>2</formula>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Entrez une étiquette pour décrire la clé personnalisée à gauche" sqref="N2 S2 X2"/>
    <dataValidation allowBlank="1" showInputMessage="1" showErrorMessage="1" prompt="Entrez une lettre et personnalisez l’étiquette à droite pour ajouter un élément de clé" sqref="M2 R2 W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rs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type="list" allowBlank="1" showInputMessage="1" showErrorMessage="1" sqref="B7:B36">
      <formula1>#REF!</formula1>
    </dataValidation>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DATEDIF(DATE(CalendarYear,2,1),DATE(CalendarYear,3,1),"d")</xm:f>
              </x14:cfvo>
              <x14:negativeFillColor rgb="FFFF0000"/>
              <x14:axisColor rgb="FF000000"/>
            </x14:dataBar>
          </x14:cfRule>
          <xm:sqref>AH7:AH36</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2" tint="-0.249977111117893"/>
    <pageSetUpPr fitToPage="1"/>
  </sheetPr>
  <dimension ref="A1:AH37"/>
  <sheetViews>
    <sheetView showGridLines="0" zoomScale="90" zoomScaleNormal="90" workbookViewId="0">
      <pane xSplit="1" ySplit="6" topLeftCell="B7" activePane="bottomRight" state="frozen"/>
      <selection pane="topRight" activeCell="B1" sqref="B1"/>
      <selection pane="bottomLeft" activeCell="A7" sqref="A7"/>
      <selection pane="bottomRight" activeCell="I13" sqref="I13"/>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des absences des employés EQ B</v>
      </c>
    </row>
    <row r="2" spans="2:34" ht="15" customHeight="1" x14ac:dyDescent="0.25">
      <c r="B2" s="15" t="s">
        <v>0</v>
      </c>
      <c r="C2" s="3" t="s">
        <v>3</v>
      </c>
      <c r="D2" s="54" t="s">
        <v>6</v>
      </c>
      <c r="E2" s="54"/>
      <c r="F2" s="4" t="s">
        <v>57</v>
      </c>
      <c r="G2" s="53" t="s">
        <v>58</v>
      </c>
      <c r="H2" s="54"/>
      <c r="I2" s="54"/>
      <c r="J2" s="5" t="s">
        <v>10</v>
      </c>
      <c r="K2" s="54" t="s">
        <v>16</v>
      </c>
      <c r="L2" s="54"/>
      <c r="M2" s="6" t="s">
        <v>59</v>
      </c>
      <c r="N2" s="53" t="s">
        <v>60</v>
      </c>
      <c r="O2" s="54"/>
      <c r="P2" s="54"/>
      <c r="Q2" s="54"/>
      <c r="R2" s="7" t="s">
        <v>55</v>
      </c>
      <c r="S2" s="53" t="s">
        <v>56</v>
      </c>
      <c r="T2" s="54"/>
      <c r="U2" s="54"/>
      <c r="V2" s="54"/>
      <c r="W2" s="22" t="s">
        <v>62</v>
      </c>
      <c r="X2" s="53" t="s">
        <v>63</v>
      </c>
      <c r="Y2" s="54"/>
      <c r="Z2" s="54"/>
      <c r="AA2" s="54"/>
    </row>
    <row r="3" spans="2:34" ht="15" customHeight="1" x14ac:dyDescent="0.25">
      <c r="B3" s="12"/>
    </row>
    <row r="4" spans="2:34" ht="30" customHeight="1" x14ac:dyDescent="0.25">
      <c r="B4" s="10" t="s">
        <v>45</v>
      </c>
      <c r="C4" s="52" t="s">
        <v>4</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10">
        <f>AnnéeCalendrier</f>
        <v>2019</v>
      </c>
    </row>
    <row r="5" spans="2:34" ht="15" customHeight="1" x14ac:dyDescent="0.25">
      <c r="B5" s="10"/>
      <c r="C5" s="1" t="str">
        <f>TEXT(WEEKDAY(DATE(AnnéeCalendrier,4,1),1),"jjj")</f>
        <v>lun</v>
      </c>
      <c r="D5" s="1" t="str">
        <f>TEXT(WEEKDAY(DATE(AnnéeCalendrier,4,2),1),"jjj")</f>
        <v>mar</v>
      </c>
      <c r="E5" s="1" t="str">
        <f>TEXT(WEEKDAY(DATE(AnnéeCalendrier,4,3),1),"jjj")</f>
        <v>mer</v>
      </c>
      <c r="F5" s="1" t="str">
        <f>TEXT(WEEKDAY(DATE(AnnéeCalendrier,4,4),1),"jjj")</f>
        <v>jeu</v>
      </c>
      <c r="G5" s="1" t="str">
        <f>TEXT(WEEKDAY(DATE(AnnéeCalendrier,4,5),1),"jjj")</f>
        <v>ven</v>
      </c>
      <c r="H5" s="1" t="str">
        <f>TEXT(WEEKDAY(DATE(AnnéeCalendrier,4,6),1),"jjj")</f>
        <v>sam</v>
      </c>
      <c r="I5" s="1" t="str">
        <f>TEXT(WEEKDAY(DATE(AnnéeCalendrier,4,7),1),"jjj")</f>
        <v>dim</v>
      </c>
      <c r="J5" s="1" t="str">
        <f>TEXT(WEEKDAY(DATE(AnnéeCalendrier,4,8),1),"jjj")</f>
        <v>lun</v>
      </c>
      <c r="K5" s="1" t="str">
        <f>TEXT(WEEKDAY(DATE(AnnéeCalendrier,4,9),1),"jjj")</f>
        <v>mar</v>
      </c>
      <c r="L5" s="1" t="str">
        <f>TEXT(WEEKDAY(DATE(AnnéeCalendrier,4,10),1),"jjj")</f>
        <v>mer</v>
      </c>
      <c r="M5" s="1" t="str">
        <f>TEXT(WEEKDAY(DATE(AnnéeCalendrier,4,11),1),"jjj")</f>
        <v>jeu</v>
      </c>
      <c r="N5" s="1" t="str">
        <f>TEXT(WEEKDAY(DATE(AnnéeCalendrier,4,12),1),"jjj")</f>
        <v>ven</v>
      </c>
      <c r="O5" s="1" t="str">
        <f>TEXT(WEEKDAY(DATE(AnnéeCalendrier,4,13),1),"jjj")</f>
        <v>sam</v>
      </c>
      <c r="P5" s="1" t="str">
        <f>TEXT(WEEKDAY(DATE(AnnéeCalendrier,4,14),1),"jjj")</f>
        <v>dim</v>
      </c>
      <c r="Q5" s="1" t="str">
        <f>TEXT(WEEKDAY(DATE(AnnéeCalendrier,4,15),1),"jjj")</f>
        <v>lun</v>
      </c>
      <c r="R5" s="1" t="str">
        <f>TEXT(WEEKDAY(DATE(AnnéeCalendrier,4,16),1),"jjj")</f>
        <v>mar</v>
      </c>
      <c r="S5" s="1" t="str">
        <f>TEXT(WEEKDAY(DATE(AnnéeCalendrier,4,17),1),"jjj")</f>
        <v>mer</v>
      </c>
      <c r="T5" s="1" t="str">
        <f>TEXT(WEEKDAY(DATE(AnnéeCalendrier,4,18),1),"jjj")</f>
        <v>jeu</v>
      </c>
      <c r="U5" s="1" t="str">
        <f>TEXT(WEEKDAY(DATE(AnnéeCalendrier,4,19),1),"jjj")</f>
        <v>ven</v>
      </c>
      <c r="V5" s="1" t="str">
        <f>TEXT(WEEKDAY(DATE(AnnéeCalendrier,4,20),1),"jjj")</f>
        <v>sam</v>
      </c>
      <c r="W5" s="1" t="str">
        <f>TEXT(WEEKDAY(DATE(AnnéeCalendrier,4,21),1),"jjj")</f>
        <v>dim</v>
      </c>
      <c r="X5" s="1" t="str">
        <f>TEXT(WEEKDAY(DATE(AnnéeCalendrier,4,22),1),"jjj")</f>
        <v>lun</v>
      </c>
      <c r="Y5" s="1" t="str">
        <f>TEXT(WEEKDAY(DATE(AnnéeCalendrier,4,23),1),"jjj")</f>
        <v>mar</v>
      </c>
      <c r="Z5" s="1" t="str">
        <f>TEXT(WEEKDAY(DATE(AnnéeCalendrier,4,24),1),"jjj")</f>
        <v>mer</v>
      </c>
      <c r="AA5" s="1" t="str">
        <f>TEXT(WEEKDAY(DATE(AnnéeCalendrier,4,25),1),"jjj")</f>
        <v>jeu</v>
      </c>
      <c r="AB5" s="1" t="str">
        <f>TEXT(WEEKDAY(DATE(AnnéeCalendrier,4,26),1),"jjj")</f>
        <v>ven</v>
      </c>
      <c r="AC5" s="1" t="str">
        <f>TEXT(WEEKDAY(DATE(AnnéeCalendrier,4,27),1),"jjj")</f>
        <v>sam</v>
      </c>
      <c r="AD5" s="1" t="str">
        <f>TEXT(WEEKDAY(DATE(AnnéeCalendrier,4,28),1),"jjj")</f>
        <v>dim</v>
      </c>
      <c r="AE5" s="1" t="str">
        <f>TEXT(WEEKDAY(DATE(AnnéeCalendrier,4,29),1),"jjj")</f>
        <v>lun</v>
      </c>
      <c r="AF5" s="1" t="str">
        <f>TEXT(WEEKDAY(DATE(AnnéeCalendrier,4,30),1),"jjj")</f>
        <v>mar</v>
      </c>
      <c r="AG5" s="1"/>
      <c r="AH5" s="10"/>
    </row>
    <row r="6" spans="2:34" ht="15" customHeight="1" x14ac:dyDescent="0.25">
      <c r="B6" s="18" t="s">
        <v>2</v>
      </c>
      <c r="C6" s="2" t="s">
        <v>5</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15" x14ac:dyDescent="0.25">
      <c r="B7" s="19" t="str">
        <f>Paramètre!$A15</f>
        <v>A1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COUNTA(Avril[[#This Row],[1]:[31]])</f>
        <v>0</v>
      </c>
    </row>
    <row r="8" spans="2:34" ht="15" x14ac:dyDescent="0.25">
      <c r="B8" s="19" t="str">
        <f>Paramètre!$A16</f>
        <v>A2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COUNTA(Avril[[#This Row],[1]:[31]])</f>
        <v>0</v>
      </c>
    </row>
    <row r="9" spans="2:34" ht="15" x14ac:dyDescent="0.25">
      <c r="B9" s="19" t="str">
        <f>Paramètre!$A17</f>
        <v>A3</v>
      </c>
      <c r="C9" s="2"/>
      <c r="D9" s="2" t="s">
        <v>59</v>
      </c>
      <c r="E9" s="2" t="s">
        <v>59</v>
      </c>
      <c r="F9" s="2"/>
      <c r="G9" s="2"/>
      <c r="H9" s="2"/>
      <c r="I9" s="2"/>
      <c r="J9" s="2"/>
      <c r="K9" s="2"/>
      <c r="L9" s="2"/>
      <c r="M9" s="2"/>
      <c r="N9" s="2"/>
      <c r="O9" s="2"/>
      <c r="P9" s="2"/>
      <c r="Q9" s="2"/>
      <c r="R9" s="2"/>
      <c r="S9" s="2"/>
      <c r="T9" s="2"/>
      <c r="U9" s="2"/>
      <c r="V9" s="2"/>
      <c r="W9" s="2"/>
      <c r="X9" s="2"/>
      <c r="Y9" s="2"/>
      <c r="Z9" s="2"/>
      <c r="AA9" s="2"/>
      <c r="AB9" s="2"/>
      <c r="AC9" s="2"/>
      <c r="AD9" s="2"/>
      <c r="AE9" s="2"/>
      <c r="AF9" s="2"/>
      <c r="AG9" s="2"/>
      <c r="AH9" s="8">
        <f>COUNTA(Avril[[#This Row],[1]:[31]])</f>
        <v>2</v>
      </c>
    </row>
    <row r="10" spans="2:34" ht="15" x14ac:dyDescent="0.25">
      <c r="B10" s="19" t="str">
        <f>Paramètre!$A18</f>
        <v>A4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COUNTA(Avril[[#This Row],[1]:[31]])</f>
        <v>0</v>
      </c>
    </row>
    <row r="11" spans="2:34" ht="15" x14ac:dyDescent="0.25">
      <c r="B11" s="19" t="str">
        <f>Paramètre!$A19</f>
        <v>A5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COUNTA(Avril[[#This Row],[1]:[31]])</f>
        <v>0</v>
      </c>
    </row>
    <row r="12" spans="2:34" ht="15" x14ac:dyDescent="0.25">
      <c r="B12" s="19" t="str">
        <f>Paramètre!$A20</f>
        <v>A6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8">
        <f>COUNTA(Avril[[#This Row],[1]:[31]])</f>
        <v>0</v>
      </c>
    </row>
    <row r="13" spans="2:34" ht="15" x14ac:dyDescent="0.25">
      <c r="B13" s="19" t="str">
        <f>Paramètre!$A21</f>
        <v>A7</v>
      </c>
      <c r="C13" s="21"/>
      <c r="D13" s="21"/>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8"/>
      <c r="AG13" s="8"/>
      <c r="AH13" s="8">
        <f>COUNTA(Avril[[#This Row],[1]:[31]])</f>
        <v>0</v>
      </c>
    </row>
    <row r="14" spans="2:34" ht="15" x14ac:dyDescent="0.25">
      <c r="B14" s="19" t="str">
        <f>Paramètre!$A22</f>
        <v>A8</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8">
        <f>COUNTA(Avril[[#This Row],[1]:[31]])</f>
        <v>0</v>
      </c>
    </row>
    <row r="15" spans="2:34" ht="15" x14ac:dyDescent="0.25">
      <c r="B15" s="19" t="str">
        <f>Paramètre!$A23</f>
        <v>A9</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8">
        <f>COUNTA(Avril[[#This Row],[1]:[31]])</f>
        <v>0</v>
      </c>
    </row>
    <row r="16" spans="2:34" ht="15" x14ac:dyDescent="0.25">
      <c r="B16" s="19" t="str">
        <f>Paramètre!$A24</f>
        <v>A10</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8">
        <f>COUNTA(Avril[[#This Row],[1]:[31]])</f>
        <v>0</v>
      </c>
    </row>
    <row r="17" spans="2:34" ht="15" x14ac:dyDescent="0.25">
      <c r="B17" s="19" t="str">
        <f>Paramètre!$A25</f>
        <v>A11</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8">
        <f>COUNTA(Avril[[#This Row],[1]:[31]])</f>
        <v>0</v>
      </c>
    </row>
    <row r="18" spans="2:34" ht="15" x14ac:dyDescent="0.25">
      <c r="B18" s="19" t="str">
        <f>Paramètre!$A26</f>
        <v>A12</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8">
        <f>COUNTA(Avril[[#This Row],[1]:[31]])</f>
        <v>0</v>
      </c>
    </row>
    <row r="19" spans="2:34" ht="15" x14ac:dyDescent="0.25">
      <c r="B19" s="19" t="str">
        <f>Paramètre!$A27</f>
        <v>A13</v>
      </c>
      <c r="C19" s="2"/>
      <c r="D19" s="2"/>
      <c r="E19" s="2"/>
      <c r="F19" s="2"/>
      <c r="G19" s="2"/>
      <c r="H19" s="2"/>
      <c r="I19" s="2"/>
      <c r="J19" s="2"/>
      <c r="K19" s="2"/>
      <c r="L19" s="2"/>
      <c r="M19" s="2"/>
      <c r="N19" s="2"/>
      <c r="O19" s="2"/>
      <c r="P19" s="2" t="s">
        <v>57</v>
      </c>
      <c r="Q19" s="2"/>
      <c r="R19" s="2"/>
      <c r="S19" s="2"/>
      <c r="T19" s="2"/>
      <c r="U19" s="2"/>
      <c r="V19" s="2"/>
      <c r="W19" s="2"/>
      <c r="X19" s="2"/>
      <c r="Y19" s="2"/>
      <c r="Z19" s="2"/>
      <c r="AA19" s="2"/>
      <c r="AB19" s="2"/>
      <c r="AC19" s="2"/>
      <c r="AD19" s="2"/>
      <c r="AE19" s="2"/>
      <c r="AF19" s="2"/>
      <c r="AG19" s="2"/>
      <c r="AH19" s="8">
        <f>COUNTA(Avril[[#This Row],[1]:[31]])</f>
        <v>1</v>
      </c>
    </row>
    <row r="20" spans="2:34" ht="15" x14ac:dyDescent="0.25">
      <c r="B20" s="19" t="str">
        <f>Paramètre!$A28</f>
        <v>A14</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8">
        <f>COUNTA(Avril[[#This Row],[1]:[31]])</f>
        <v>0</v>
      </c>
    </row>
    <row r="21" spans="2:34" ht="15" x14ac:dyDescent="0.25">
      <c r="B21" s="19" t="str">
        <f>Paramètre!$A29</f>
        <v>A15</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8">
        <f>COUNTA(Avril[[#This Row],[1]:[31]])</f>
        <v>0</v>
      </c>
    </row>
    <row r="22" spans="2:34" ht="15" x14ac:dyDescent="0.25">
      <c r="B22" s="19" t="str">
        <f>Paramètre!$A30</f>
        <v>A16</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8">
        <f>COUNTA(Avril[[#This Row],[1]:[31]])</f>
        <v>0</v>
      </c>
    </row>
    <row r="23" spans="2:34" ht="15" x14ac:dyDescent="0.25">
      <c r="B23" s="19" t="str">
        <f>Paramètre!$A31</f>
        <v>A17</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8">
        <f>COUNTA(Avril[[#This Row],[1]:[31]])</f>
        <v>0</v>
      </c>
    </row>
    <row r="24" spans="2:34" ht="15" x14ac:dyDescent="0.25">
      <c r="B24" s="19" t="str">
        <f>Paramètre!$A32</f>
        <v>A18</v>
      </c>
      <c r="C24" s="2"/>
      <c r="D24" s="2"/>
      <c r="E24" s="2"/>
      <c r="F24" s="2"/>
      <c r="G24" s="2"/>
      <c r="H24" s="2"/>
      <c r="I24" s="2"/>
      <c r="J24" s="2"/>
      <c r="K24" s="2"/>
      <c r="L24" s="2"/>
      <c r="M24" s="2" t="s">
        <v>57</v>
      </c>
      <c r="N24" s="2"/>
      <c r="O24" s="2"/>
      <c r="P24" s="2"/>
      <c r="Q24" s="2"/>
      <c r="R24" s="2"/>
      <c r="S24" s="2"/>
      <c r="T24" s="2"/>
      <c r="U24" s="2"/>
      <c r="V24" s="2"/>
      <c r="W24" s="2"/>
      <c r="X24" s="2"/>
      <c r="Y24" s="2"/>
      <c r="Z24" s="2"/>
      <c r="AA24" s="2"/>
      <c r="AB24" s="2"/>
      <c r="AC24" s="2"/>
      <c r="AD24" s="2"/>
      <c r="AE24" s="2"/>
      <c r="AF24" s="2"/>
      <c r="AG24" s="2"/>
      <c r="AH24" s="8">
        <f>COUNTA(Avril[[#This Row],[1]:[31]])</f>
        <v>1</v>
      </c>
    </row>
    <row r="25" spans="2:34" ht="15" x14ac:dyDescent="0.25">
      <c r="B25" s="19" t="str">
        <f>Paramètre!$A33</f>
        <v>A19</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8">
        <f>COUNTA(Avril[[#This Row],[1]:[31]])</f>
        <v>0</v>
      </c>
    </row>
    <row r="26" spans="2:34" ht="15" x14ac:dyDescent="0.25">
      <c r="B26" s="19" t="str">
        <f>Paramètre!$A34</f>
        <v>A20</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8">
        <f>COUNTA(Avril[[#This Row],[1]:[31]])</f>
        <v>0</v>
      </c>
    </row>
    <row r="27" spans="2:34" ht="15" x14ac:dyDescent="0.25">
      <c r="B27" s="19" t="str">
        <f>Paramètre!$A35</f>
        <v>A21</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8">
        <f>COUNTA(Avril[[#This Row],[1]:[31]])</f>
        <v>0</v>
      </c>
    </row>
    <row r="28" spans="2:34" ht="15" x14ac:dyDescent="0.25">
      <c r="B28" s="19" t="str">
        <f>Paramètre!$A36</f>
        <v>A22</v>
      </c>
      <c r="C28" s="2" t="s">
        <v>10</v>
      </c>
      <c r="D28" s="2" t="s">
        <v>10</v>
      </c>
      <c r="E28" s="2" t="s">
        <v>10</v>
      </c>
      <c r="F28" s="2" t="s">
        <v>10</v>
      </c>
      <c r="G28" s="2"/>
      <c r="H28" s="2"/>
      <c r="I28" s="2" t="s">
        <v>10</v>
      </c>
      <c r="J28" s="2" t="s">
        <v>10</v>
      </c>
      <c r="K28" s="2" t="s">
        <v>10</v>
      </c>
      <c r="L28" s="2"/>
      <c r="M28" s="2"/>
      <c r="N28" s="2"/>
      <c r="O28" s="2"/>
      <c r="P28" s="2"/>
      <c r="Q28" s="2"/>
      <c r="R28" s="2"/>
      <c r="S28" s="2"/>
      <c r="T28" s="2"/>
      <c r="U28" s="2"/>
      <c r="V28" s="2"/>
      <c r="W28" s="2"/>
      <c r="X28" s="2"/>
      <c r="Y28" s="2"/>
      <c r="Z28" s="2"/>
      <c r="AA28" s="2"/>
      <c r="AB28" s="2"/>
      <c r="AC28" s="2"/>
      <c r="AD28" s="2"/>
      <c r="AE28" s="2"/>
      <c r="AF28" s="2"/>
      <c r="AG28" s="2"/>
      <c r="AH28" s="8">
        <f>COUNTA(Avril[[#This Row],[1]:[31]])</f>
        <v>7</v>
      </c>
    </row>
    <row r="29" spans="2:34" ht="15" x14ac:dyDescent="0.25">
      <c r="B29" s="19" t="str">
        <f>Paramètre!$A37</f>
        <v>A23</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t="s">
        <v>3</v>
      </c>
      <c r="AE29" s="2"/>
      <c r="AF29" s="2"/>
      <c r="AG29" s="2"/>
      <c r="AH29" s="8">
        <f>COUNTA(Avril[[#This Row],[1]:[31]])</f>
        <v>1</v>
      </c>
    </row>
    <row r="30" spans="2:34" ht="15" x14ac:dyDescent="0.25">
      <c r="B30" s="19" t="str">
        <f>Paramètre!$A38</f>
        <v>A24</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8">
        <f>COUNTA(Avril[[#This Row],[1]:[31]])</f>
        <v>0</v>
      </c>
    </row>
    <row r="31" spans="2:34" ht="15" x14ac:dyDescent="0.25">
      <c r="B31" s="19" t="str">
        <f>Paramètre!$A39</f>
        <v>A25</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8">
        <f>COUNTA(Avril[[#This Row],[1]:[31]])</f>
        <v>0</v>
      </c>
    </row>
    <row r="32" spans="2:34" ht="15" x14ac:dyDescent="0.25">
      <c r="B32" s="19" t="str">
        <f>Paramètre!$A40</f>
        <v>A26</v>
      </c>
      <c r="C32" s="2"/>
      <c r="D32" s="2" t="s">
        <v>55</v>
      </c>
      <c r="E32" s="2"/>
      <c r="F32" s="2" t="s">
        <v>55</v>
      </c>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8">
        <f>COUNTA(Avril[[#This Row],[1]:[31]])</f>
        <v>2</v>
      </c>
    </row>
    <row r="33" spans="2:34" ht="15" x14ac:dyDescent="0.25">
      <c r="B33" s="19" t="str">
        <f>Paramètre!$A41</f>
        <v>A27</v>
      </c>
      <c r="C33" s="2"/>
      <c r="D33" s="2"/>
      <c r="E33" s="2"/>
      <c r="F33" s="2"/>
      <c r="G33" s="2"/>
      <c r="H33" s="2"/>
      <c r="I33" s="2"/>
      <c r="J33" s="2"/>
      <c r="K33" s="2" t="s">
        <v>3</v>
      </c>
      <c r="L33" s="2" t="s">
        <v>3</v>
      </c>
      <c r="M33" s="2" t="s">
        <v>3</v>
      </c>
      <c r="N33" s="2"/>
      <c r="O33" s="2"/>
      <c r="P33" s="2"/>
      <c r="Q33" s="2"/>
      <c r="R33" s="2"/>
      <c r="S33" s="2"/>
      <c r="T33" s="2"/>
      <c r="U33" s="2"/>
      <c r="V33" s="2"/>
      <c r="W33" s="2"/>
      <c r="X33" s="2"/>
      <c r="Y33" s="2"/>
      <c r="Z33" s="2"/>
      <c r="AA33" s="2"/>
      <c r="AB33" s="2"/>
      <c r="AC33" s="2"/>
      <c r="AD33" s="2"/>
      <c r="AE33" s="2"/>
      <c r="AF33" s="2"/>
      <c r="AG33" s="2"/>
      <c r="AH33" s="8">
        <f>COUNTA(Avril[[#This Row],[1]:[31]])</f>
        <v>3</v>
      </c>
    </row>
    <row r="34" spans="2:34" ht="15" x14ac:dyDescent="0.25">
      <c r="B34" s="19" t="str">
        <f>Paramètre!$A42</f>
        <v>A28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8">
        <f>COUNTA(Avril[[#This Row],[1]:[31]])</f>
        <v>0</v>
      </c>
    </row>
    <row r="35" spans="2:34" ht="15" x14ac:dyDescent="0.25">
      <c r="B35" s="19" t="str">
        <f>Paramètre!$A43</f>
        <v>A29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8">
        <f>COUNTA(Avril[[#This Row],[1]:[31]])</f>
        <v>0</v>
      </c>
    </row>
    <row r="36" spans="2:34" ht="15" x14ac:dyDescent="0.25">
      <c r="B36" s="19" t="str">
        <f>Paramètre!$A44</f>
        <v>A30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8">
        <f>COUNTA(Avril[[#This Row],[1]:[31]])</f>
        <v>0</v>
      </c>
    </row>
    <row r="37" spans="2:34" ht="30" customHeight="1" x14ac:dyDescent="0.25">
      <c r="B37" s="17" t="str">
        <f>NomMois&amp;" Total"</f>
        <v>Avril Total</v>
      </c>
      <c r="C37" s="11">
        <f>SUBTOTAL(103,Avril[1])</f>
        <v>1</v>
      </c>
      <c r="D37" s="11">
        <f>SUBTOTAL(103,Avril[2])</f>
        <v>3</v>
      </c>
      <c r="E37" s="11">
        <f>SUBTOTAL(103,Avril[3])</f>
        <v>2</v>
      </c>
      <c r="F37" s="11">
        <f>SUBTOTAL(103,Avril[4])</f>
        <v>2</v>
      </c>
      <c r="G37" s="11">
        <f>SUBTOTAL(103,Avril[5])</f>
        <v>0</v>
      </c>
      <c r="H37" s="11">
        <f>SUBTOTAL(103,Avril[6])</f>
        <v>0</v>
      </c>
      <c r="I37" s="11">
        <f>SUBTOTAL(103,Avril[7])</f>
        <v>1</v>
      </c>
      <c r="J37" s="11">
        <f>SUBTOTAL(103,Avril[8])</f>
        <v>1</v>
      </c>
      <c r="K37" s="11">
        <f>SUBTOTAL(103,Avril[9])</f>
        <v>2</v>
      </c>
      <c r="L37" s="11">
        <f>SUBTOTAL(103,Avril[10])</f>
        <v>1</v>
      </c>
      <c r="M37" s="11">
        <f>SUBTOTAL(103,Avril[11])</f>
        <v>2</v>
      </c>
      <c r="N37" s="11">
        <f>SUBTOTAL(103,Avril[12])</f>
        <v>0</v>
      </c>
      <c r="O37" s="11">
        <f>SUBTOTAL(103,Avril[13])</f>
        <v>0</v>
      </c>
      <c r="P37" s="11">
        <f>SUBTOTAL(103,Avril[14])</f>
        <v>1</v>
      </c>
      <c r="Q37" s="11">
        <f>SUBTOTAL(103,Avril[15])</f>
        <v>0</v>
      </c>
      <c r="R37" s="11">
        <f>SUBTOTAL(103,Avril[16])</f>
        <v>0</v>
      </c>
      <c r="S37" s="11">
        <f>SUBTOTAL(103,Avril[17])</f>
        <v>0</v>
      </c>
      <c r="T37" s="11">
        <f>SUBTOTAL(103,Avril[18])</f>
        <v>0</v>
      </c>
      <c r="U37" s="11">
        <f>SUBTOTAL(103,Avril[19])</f>
        <v>0</v>
      </c>
      <c r="V37" s="11">
        <f>SUBTOTAL(103,Avril[20])</f>
        <v>0</v>
      </c>
      <c r="W37" s="11">
        <f>SUBTOTAL(103,Avril[21])</f>
        <v>0</v>
      </c>
      <c r="X37" s="11">
        <f>SUBTOTAL(103,Avril[22])</f>
        <v>0</v>
      </c>
      <c r="Y37" s="11">
        <f>SUBTOTAL(103,Avril[23])</f>
        <v>0</v>
      </c>
      <c r="Z37" s="11">
        <f>SUBTOTAL(103,Avril[24])</f>
        <v>0</v>
      </c>
      <c r="AA37" s="11">
        <f>SUBTOTAL(103,Avril[25])</f>
        <v>0</v>
      </c>
      <c r="AB37" s="11">
        <f>SUBTOTAL(103,Avril[26])</f>
        <v>0</v>
      </c>
      <c r="AC37" s="11">
        <f>SUBTOTAL(103,Avril[27])</f>
        <v>0</v>
      </c>
      <c r="AD37" s="11">
        <f>SUBTOTAL(103,Avril[28])</f>
        <v>1</v>
      </c>
      <c r="AE37" s="11">
        <f>SUBTOTAL(103,Avril[29])</f>
        <v>0</v>
      </c>
      <c r="AF37" s="11">
        <f>SUBTOTAL(109,Avril[30])</f>
        <v>0</v>
      </c>
      <c r="AG37" s="11">
        <f>SUBTOTAL(109,Avril[31])</f>
        <v>0</v>
      </c>
      <c r="AH37" s="11">
        <f>SUBTOTAL(109,Avril[Total des jours])</f>
        <v>17</v>
      </c>
    </row>
  </sheetData>
  <mergeCells count="7">
    <mergeCell ref="C4:AG4"/>
    <mergeCell ref="D2:E2"/>
    <mergeCell ref="G2:I2"/>
    <mergeCell ref="K2:L2"/>
    <mergeCell ref="N2:Q2"/>
    <mergeCell ref="S2:V2"/>
    <mergeCell ref="X2:AA2"/>
  </mergeCells>
  <conditionalFormatting sqref="AH7:AH36">
    <cfRule type="dataBar" priority="16">
      <dataBar>
        <cfvo type="min"/>
        <cfvo type="formula" val="DATEDIF(DATE(CalendarYear,2,1),DATE(CalendarYear,3,1),&quot;d&quot;)"/>
        <color theme="2" tint="-0.249977111117893"/>
      </dataBar>
      <extLst>
        <ext xmlns:x14="http://schemas.microsoft.com/office/spreadsheetml/2009/9/main" uri="{B025F937-C7B1-47D3-B67F-A62EFF666E3E}">
          <x14:id>{0C86709F-D813-4066-A3F1-C30F11214F4B}</x14:id>
        </ext>
      </extLst>
    </cfRule>
  </conditionalFormatting>
  <conditionalFormatting sqref="C7:AG36">
    <cfRule type="expression" priority="2" stopIfTrue="1">
      <formula>C7=""</formula>
    </cfRule>
    <cfRule type="expression" dxfId="683" priority="4" stopIfTrue="1">
      <formula>C7=CléPersonnalisée2</formula>
    </cfRule>
    <cfRule type="expression" dxfId="682" priority="5" stopIfTrue="1">
      <formula>C7=CléPersonnalisée1</formula>
    </cfRule>
    <cfRule type="expression" dxfId="681" priority="6" stopIfTrue="1">
      <formula>C7=CléMaladie</formula>
    </cfRule>
    <cfRule type="expression" dxfId="680" priority="7" stopIfTrue="1">
      <formula>C7=CléPersonnel</formula>
    </cfRule>
    <cfRule type="expression" dxfId="679" priority="8" stopIfTrue="1">
      <formula>C7=CléCongé</formula>
    </cfRule>
  </conditionalFormatting>
  <conditionalFormatting sqref="C7:AG36">
    <cfRule type="expression" dxfId="678" priority="3">
      <formula>C7=CléPersonnalisée3</formula>
    </cfRule>
  </conditionalFormatting>
  <conditionalFormatting sqref="C37:AG37">
    <cfRule type="cellIs" dxfId="677" priority="1" operator="greaterThan">
      <formula>2</formula>
    </cfRule>
  </conditionalFormatting>
  <dataValidations count="1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avril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W2"/>
    <dataValidation allowBlank="1" showInputMessage="1" showErrorMessage="1" prompt="Entrez une étiquette pour décrire la clé personnalisée à gauche" sqref="N2 S2 X2"/>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type="list" allowBlank="1" showInputMessage="1" showErrorMessage="1" sqref="B7:B36">
      <formula1>#REF!</formula1>
    </dataValidation>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DATEDIF(DATE(CalendarYear,2,1),DATE(CalendarYear,3,1),"d")</xm:f>
              </x14:cfvo>
              <x14:negativeFillColor rgb="FFFF0000"/>
              <x14:axisColor rgb="FF000000"/>
            </x14:dataBar>
          </x14:cfRule>
          <xm:sqref>AH7:AH36</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2" tint="-9.9978637043366805E-2"/>
    <pageSetUpPr fitToPage="1"/>
  </sheetPr>
  <dimension ref="A1:AH37"/>
  <sheetViews>
    <sheetView showGridLines="0" zoomScaleNormal="100" workbookViewId="0">
      <pane xSplit="1" ySplit="6" topLeftCell="B7" activePane="bottomRight" state="frozen"/>
      <selection pane="topRight" activeCell="B1" sqref="B1"/>
      <selection pane="bottomLeft" activeCell="A7" sqref="A7"/>
      <selection pane="bottomRight" activeCell="C7" sqref="C7:AG36"/>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des absences des employés EQ B</v>
      </c>
    </row>
    <row r="2" spans="2:34" ht="15" customHeight="1" x14ac:dyDescent="0.25">
      <c r="B2" s="15" t="s">
        <v>0</v>
      </c>
      <c r="C2" s="3" t="s">
        <v>3</v>
      </c>
      <c r="D2" s="54" t="s">
        <v>6</v>
      </c>
      <c r="E2" s="54"/>
      <c r="F2" s="4" t="s">
        <v>57</v>
      </c>
      <c r="G2" s="53" t="s">
        <v>58</v>
      </c>
      <c r="H2" s="54"/>
      <c r="I2" s="54"/>
      <c r="J2" s="5" t="s">
        <v>10</v>
      </c>
      <c r="K2" s="54" t="s">
        <v>16</v>
      </c>
      <c r="L2" s="54"/>
      <c r="M2" s="6" t="s">
        <v>59</v>
      </c>
      <c r="N2" s="53" t="s">
        <v>60</v>
      </c>
      <c r="O2" s="54"/>
      <c r="P2" s="54"/>
      <c r="Q2" s="54"/>
      <c r="R2" s="7" t="s">
        <v>55</v>
      </c>
      <c r="S2" s="53" t="s">
        <v>56</v>
      </c>
      <c r="T2" s="54"/>
      <c r="U2" s="54"/>
      <c r="V2" s="54"/>
      <c r="W2" s="22" t="s">
        <v>62</v>
      </c>
      <c r="X2" s="53" t="s">
        <v>63</v>
      </c>
      <c r="Y2" s="54"/>
      <c r="Z2" s="54"/>
      <c r="AA2" s="54"/>
    </row>
    <row r="3" spans="2:34" ht="15" customHeight="1" x14ac:dyDescent="0.25">
      <c r="B3" s="12"/>
    </row>
    <row r="4" spans="2:34" ht="30" customHeight="1" x14ac:dyDescent="0.25">
      <c r="B4" s="10" t="s">
        <v>46</v>
      </c>
      <c r="C4" s="52" t="s">
        <v>4</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10">
        <f>AnnéeCalendrier</f>
        <v>2019</v>
      </c>
    </row>
    <row r="5" spans="2:34" ht="15" customHeight="1" x14ac:dyDescent="0.25">
      <c r="B5" s="10"/>
      <c r="C5" s="1" t="str">
        <f>TEXT(WEEKDAY(DATE(AnnéeCalendrier,5,1),1),"jjj")</f>
        <v>mer</v>
      </c>
      <c r="D5" s="1" t="str">
        <f>TEXT(WEEKDAY(DATE(AnnéeCalendrier,5,2),1),"jjj")</f>
        <v>jeu</v>
      </c>
      <c r="E5" s="1" t="str">
        <f>TEXT(WEEKDAY(DATE(AnnéeCalendrier,5,3),1),"jjj")</f>
        <v>ven</v>
      </c>
      <c r="F5" s="1" t="str">
        <f>TEXT(WEEKDAY(DATE(AnnéeCalendrier,5,4),1),"jjj")</f>
        <v>sam</v>
      </c>
      <c r="G5" s="1" t="str">
        <f>TEXT(WEEKDAY(DATE(AnnéeCalendrier,5,5),1),"jjj")</f>
        <v>dim</v>
      </c>
      <c r="H5" s="1" t="str">
        <f>TEXT(WEEKDAY(DATE(AnnéeCalendrier,5,6),1),"jjj")</f>
        <v>lun</v>
      </c>
      <c r="I5" s="1" t="str">
        <f>TEXT(WEEKDAY(DATE(AnnéeCalendrier,5,7),1),"jjj")</f>
        <v>mar</v>
      </c>
      <c r="J5" s="1" t="str">
        <f>TEXT(WEEKDAY(DATE(AnnéeCalendrier,5,8),1),"jjj")</f>
        <v>mer</v>
      </c>
      <c r="K5" s="1" t="str">
        <f>TEXT(WEEKDAY(DATE(AnnéeCalendrier,5,9),1),"jjj")</f>
        <v>jeu</v>
      </c>
      <c r="L5" s="1" t="str">
        <f>TEXT(WEEKDAY(DATE(AnnéeCalendrier,5,10),1),"jjj")</f>
        <v>ven</v>
      </c>
      <c r="M5" s="1" t="str">
        <f>TEXT(WEEKDAY(DATE(AnnéeCalendrier,5,11),1),"jjj")</f>
        <v>sam</v>
      </c>
      <c r="N5" s="1" t="str">
        <f>TEXT(WEEKDAY(DATE(AnnéeCalendrier,5,12),1),"jjj")</f>
        <v>dim</v>
      </c>
      <c r="O5" s="1" t="str">
        <f>TEXT(WEEKDAY(DATE(AnnéeCalendrier,5,13),1),"jjj")</f>
        <v>lun</v>
      </c>
      <c r="P5" s="1" t="str">
        <f>TEXT(WEEKDAY(DATE(AnnéeCalendrier,5,14),1),"jjj")</f>
        <v>mar</v>
      </c>
      <c r="Q5" s="1" t="str">
        <f>TEXT(WEEKDAY(DATE(AnnéeCalendrier,5,15),1),"jjj")</f>
        <v>mer</v>
      </c>
      <c r="R5" s="1" t="str">
        <f>TEXT(WEEKDAY(DATE(AnnéeCalendrier,5,16),1),"jjj")</f>
        <v>jeu</v>
      </c>
      <c r="S5" s="1" t="str">
        <f>TEXT(WEEKDAY(DATE(AnnéeCalendrier,5,17),1),"jjj")</f>
        <v>ven</v>
      </c>
      <c r="T5" s="1" t="str">
        <f>TEXT(WEEKDAY(DATE(AnnéeCalendrier,5,18),1),"jjj")</f>
        <v>sam</v>
      </c>
      <c r="U5" s="1" t="str">
        <f>TEXT(WEEKDAY(DATE(AnnéeCalendrier,5,19),1),"jjj")</f>
        <v>dim</v>
      </c>
      <c r="V5" s="1" t="str">
        <f>TEXT(WEEKDAY(DATE(AnnéeCalendrier,5,20),1),"jjj")</f>
        <v>lun</v>
      </c>
      <c r="W5" s="1" t="str">
        <f>TEXT(WEEKDAY(DATE(AnnéeCalendrier,5,21),1),"jjj")</f>
        <v>mar</v>
      </c>
      <c r="X5" s="1" t="str">
        <f>TEXT(WEEKDAY(DATE(AnnéeCalendrier,5,22),1),"jjj")</f>
        <v>mer</v>
      </c>
      <c r="Y5" s="1" t="str">
        <f>TEXT(WEEKDAY(DATE(AnnéeCalendrier,5,23),1),"jjj")</f>
        <v>jeu</v>
      </c>
      <c r="Z5" s="1" t="str">
        <f>TEXT(WEEKDAY(DATE(AnnéeCalendrier,5,24),1),"jjj")</f>
        <v>ven</v>
      </c>
      <c r="AA5" s="1" t="str">
        <f>TEXT(WEEKDAY(DATE(AnnéeCalendrier,5,25),1),"jjj")</f>
        <v>sam</v>
      </c>
      <c r="AB5" s="1" t="str">
        <f>TEXT(WEEKDAY(DATE(AnnéeCalendrier,5,26),1),"jjj")</f>
        <v>dim</v>
      </c>
      <c r="AC5" s="1" t="str">
        <f>TEXT(WEEKDAY(DATE(AnnéeCalendrier,5,27),1),"jjj")</f>
        <v>lun</v>
      </c>
      <c r="AD5" s="1" t="str">
        <f>TEXT(WEEKDAY(DATE(AnnéeCalendrier,5,28),1),"jjj")</f>
        <v>mar</v>
      </c>
      <c r="AE5" s="1" t="str">
        <f>TEXT(WEEKDAY(DATE(AnnéeCalendrier,5,29),1),"jjj")</f>
        <v>mer</v>
      </c>
      <c r="AF5" s="1" t="str">
        <f>TEXT(WEEKDAY(DATE(AnnéeCalendrier,5,30),1),"jjj")</f>
        <v>jeu</v>
      </c>
      <c r="AG5" s="1" t="str">
        <f>TEXT(WEEKDAY(DATE(AnnéeCalendrier,5,31),1),"jjj")</f>
        <v>ven</v>
      </c>
      <c r="AH5" s="10"/>
    </row>
    <row r="6" spans="2:34" ht="15" customHeight="1" x14ac:dyDescent="0.25">
      <c r="B6" s="18" t="s">
        <v>2</v>
      </c>
      <c r="C6" s="2" t="s">
        <v>5</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15" x14ac:dyDescent="0.25">
      <c r="B7" s="19" t="str">
        <f>Paramètre!$A15</f>
        <v>A1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COUNTA(Mai[[#This Row],[1]:[31]])</f>
        <v>0</v>
      </c>
    </row>
    <row r="8" spans="2:34" ht="15" x14ac:dyDescent="0.25">
      <c r="B8" s="19" t="str">
        <f>Paramètre!$A16</f>
        <v>A2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COUNTA(Mai[[#This Row],[1]:[31]])</f>
        <v>0</v>
      </c>
    </row>
    <row r="9" spans="2:34" ht="15" x14ac:dyDescent="0.25">
      <c r="B9" s="19" t="str">
        <f>Paramètre!$A17</f>
        <v>A3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COUNTA(Mai[[#This Row],[1]:[31]])</f>
        <v>0</v>
      </c>
    </row>
    <row r="10" spans="2:34" ht="15" x14ac:dyDescent="0.25">
      <c r="B10" s="19" t="str">
        <f>Paramètre!$A18</f>
        <v>A4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COUNTA(Mai[[#This Row],[1]:[31]])</f>
        <v>0</v>
      </c>
    </row>
    <row r="11" spans="2:34" ht="15" x14ac:dyDescent="0.25">
      <c r="B11" s="19" t="str">
        <f>Paramètre!$A19</f>
        <v>A5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COUNTA(Mai[[#This Row],[1]:[31]])</f>
        <v>0</v>
      </c>
    </row>
    <row r="12" spans="2:34" ht="15" x14ac:dyDescent="0.25">
      <c r="B12" s="19" t="str">
        <f>Paramètre!$A20</f>
        <v>A6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8">
        <f>COUNTA(Mai[[#This Row],[1]:[31]])</f>
        <v>0</v>
      </c>
    </row>
    <row r="13" spans="2:34" ht="15" x14ac:dyDescent="0.25">
      <c r="B13" s="19" t="str">
        <f>Paramètre!$A21</f>
        <v>A7</v>
      </c>
      <c r="C13" s="21"/>
      <c r="D13" s="21"/>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8"/>
      <c r="AG13" s="8"/>
      <c r="AH13" s="8">
        <f>COUNTA(Mai[[#This Row],[1]:[31]])</f>
        <v>0</v>
      </c>
    </row>
    <row r="14" spans="2:34" ht="15" x14ac:dyDescent="0.25">
      <c r="B14" s="19" t="str">
        <f>Paramètre!$A22</f>
        <v>A8</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8">
        <f>COUNTA(Mai[[#This Row],[1]:[31]])</f>
        <v>0</v>
      </c>
    </row>
    <row r="15" spans="2:34" ht="15" x14ac:dyDescent="0.25">
      <c r="B15" s="19" t="str">
        <f>Paramètre!$A23</f>
        <v>A9</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8">
        <f>COUNTA(Mai[[#This Row],[1]:[31]])</f>
        <v>0</v>
      </c>
    </row>
    <row r="16" spans="2:34" ht="15" x14ac:dyDescent="0.25">
      <c r="B16" s="19" t="str">
        <f>Paramètre!$A24</f>
        <v>A10</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8">
        <f>COUNTA(Mai[[#This Row],[1]:[31]])</f>
        <v>0</v>
      </c>
    </row>
    <row r="17" spans="2:34" ht="15" x14ac:dyDescent="0.25">
      <c r="B17" s="19" t="str">
        <f>Paramètre!$A25</f>
        <v>A11</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8">
        <f>COUNTA(Mai[[#This Row],[1]:[31]])</f>
        <v>0</v>
      </c>
    </row>
    <row r="18" spans="2:34" ht="15" x14ac:dyDescent="0.25">
      <c r="B18" s="19" t="str">
        <f>Paramètre!$A26</f>
        <v>A12</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8">
        <f>COUNTA(Mai[[#This Row],[1]:[31]])</f>
        <v>0</v>
      </c>
    </row>
    <row r="19" spans="2:34" ht="15" x14ac:dyDescent="0.25">
      <c r="B19" s="19" t="str">
        <f>Paramètre!$A27</f>
        <v>A13</v>
      </c>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8">
        <f>COUNTA(Mai[[#This Row],[1]:[31]])</f>
        <v>0</v>
      </c>
    </row>
    <row r="20" spans="2:34" ht="15" x14ac:dyDescent="0.25">
      <c r="B20" s="19" t="str">
        <f>Paramètre!$A28</f>
        <v>A14</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8">
        <f>COUNTA(Mai[[#This Row],[1]:[31]])</f>
        <v>0</v>
      </c>
    </row>
    <row r="21" spans="2:34" ht="15" x14ac:dyDescent="0.25">
      <c r="B21" s="19" t="str">
        <f>Paramètre!$A29</f>
        <v>A15</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8">
        <f>COUNTA(Mai[[#This Row],[1]:[31]])</f>
        <v>0</v>
      </c>
    </row>
    <row r="22" spans="2:34" ht="15" x14ac:dyDescent="0.25">
      <c r="B22" s="19" t="str">
        <f>Paramètre!$A30</f>
        <v>A16</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8">
        <f>COUNTA(Mai[[#This Row],[1]:[31]])</f>
        <v>0</v>
      </c>
    </row>
    <row r="23" spans="2:34" ht="15" x14ac:dyDescent="0.25">
      <c r="B23" s="19" t="str">
        <f>Paramètre!$A31</f>
        <v>A17</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8">
        <f>COUNTA(Mai[[#This Row],[1]:[31]])</f>
        <v>0</v>
      </c>
    </row>
    <row r="24" spans="2:34" ht="15" x14ac:dyDescent="0.25">
      <c r="B24" s="19" t="str">
        <f>Paramètre!$A32</f>
        <v>A18</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8">
        <f>COUNTA(Mai[[#This Row],[1]:[31]])</f>
        <v>0</v>
      </c>
    </row>
    <row r="25" spans="2:34" ht="15" x14ac:dyDescent="0.25">
      <c r="B25" s="19" t="str">
        <f>Paramètre!$A33</f>
        <v>A19</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8">
        <f>COUNTA(Mai[[#This Row],[1]:[31]])</f>
        <v>0</v>
      </c>
    </row>
    <row r="26" spans="2:34" ht="15" x14ac:dyDescent="0.25">
      <c r="B26" s="19" t="str">
        <f>Paramètre!$A34</f>
        <v>A20</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8">
        <f>COUNTA(Mai[[#This Row],[1]:[31]])</f>
        <v>0</v>
      </c>
    </row>
    <row r="27" spans="2:34" ht="15" x14ac:dyDescent="0.25">
      <c r="B27" s="19" t="str">
        <f>Paramètre!$A35</f>
        <v>A21</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8">
        <f>COUNTA(Mai[[#This Row],[1]:[31]])</f>
        <v>0</v>
      </c>
    </row>
    <row r="28" spans="2:34" ht="15" x14ac:dyDescent="0.25">
      <c r="B28" s="19" t="str">
        <f>Paramètre!$A36</f>
        <v>A22</v>
      </c>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8">
        <f>COUNTA(Mai[[#This Row],[1]:[31]])</f>
        <v>0</v>
      </c>
    </row>
    <row r="29" spans="2:34" ht="15" x14ac:dyDescent="0.25">
      <c r="B29" s="19" t="str">
        <f>Paramètre!$A37</f>
        <v>A23</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8">
        <f>COUNTA(Mai[[#This Row],[1]:[31]])</f>
        <v>0</v>
      </c>
    </row>
    <row r="30" spans="2:34" ht="15" x14ac:dyDescent="0.25">
      <c r="B30" s="19" t="str">
        <f>Paramètre!$A38</f>
        <v>A24</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8">
        <f>COUNTA(Mai[[#This Row],[1]:[31]])</f>
        <v>0</v>
      </c>
    </row>
    <row r="31" spans="2:34" ht="15" x14ac:dyDescent="0.25">
      <c r="B31" s="19" t="str">
        <f>Paramètre!$A39</f>
        <v>A25</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8">
        <f>COUNTA(Mai[[#This Row],[1]:[31]])</f>
        <v>0</v>
      </c>
    </row>
    <row r="32" spans="2:34" ht="15" x14ac:dyDescent="0.25">
      <c r="B32" s="19" t="str">
        <f>Paramètre!$A40</f>
        <v>A26</v>
      </c>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8">
        <f>COUNTA(Mai[[#This Row],[1]:[31]])</f>
        <v>0</v>
      </c>
    </row>
    <row r="33" spans="2:34" ht="15" x14ac:dyDescent="0.25">
      <c r="B33" s="19" t="str">
        <f>Paramètre!$A41</f>
        <v>A27</v>
      </c>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8">
        <f>COUNTA(Mai[[#This Row],[1]:[31]])</f>
        <v>0</v>
      </c>
    </row>
    <row r="34" spans="2:34" ht="15" x14ac:dyDescent="0.25">
      <c r="B34" s="19" t="str">
        <f>Paramètre!$A42</f>
        <v>A28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8">
        <f>COUNTA(Mai[[#This Row],[1]:[31]])</f>
        <v>0</v>
      </c>
    </row>
    <row r="35" spans="2:34" ht="15" x14ac:dyDescent="0.25">
      <c r="B35" s="19" t="str">
        <f>Paramètre!$A43</f>
        <v>A29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8">
        <f>COUNTA(Mai[[#This Row],[1]:[31]])</f>
        <v>0</v>
      </c>
    </row>
    <row r="36" spans="2:34" ht="15" x14ac:dyDescent="0.25">
      <c r="B36" s="19" t="str">
        <f>Paramètre!$A44</f>
        <v>A30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8">
        <f>COUNTA(Mai[[#This Row],[1]:[31]])</f>
        <v>0</v>
      </c>
    </row>
    <row r="37" spans="2:34" ht="30" customHeight="1" x14ac:dyDescent="0.25">
      <c r="B37" s="17" t="str">
        <f>NomMois&amp;" Total"</f>
        <v>Mai Total</v>
      </c>
      <c r="C37" s="11">
        <f>SUBTOTAL(103,Mai[1])</f>
        <v>0</v>
      </c>
      <c r="D37" s="11">
        <f>SUBTOTAL(103,Mai[2])</f>
        <v>0</v>
      </c>
      <c r="E37" s="11">
        <f>SUBTOTAL(103,Mai[3])</f>
        <v>0</v>
      </c>
      <c r="F37" s="11">
        <f>SUBTOTAL(103,Mai[4])</f>
        <v>0</v>
      </c>
      <c r="G37" s="11">
        <f>SUBTOTAL(103,Mai[5])</f>
        <v>0</v>
      </c>
      <c r="H37" s="11">
        <f>SUBTOTAL(103,Mai[6])</f>
        <v>0</v>
      </c>
      <c r="I37" s="11">
        <f>SUBTOTAL(103,Mai[7])</f>
        <v>0</v>
      </c>
      <c r="J37" s="11">
        <f>SUBTOTAL(103,Mai[8])</f>
        <v>0</v>
      </c>
      <c r="K37" s="11">
        <f>SUBTOTAL(103,Mai[9])</f>
        <v>0</v>
      </c>
      <c r="L37" s="11">
        <f>SUBTOTAL(103,Mai[10])</f>
        <v>0</v>
      </c>
      <c r="M37" s="11">
        <f>SUBTOTAL(103,Mai[11])</f>
        <v>0</v>
      </c>
      <c r="N37" s="11">
        <f>SUBTOTAL(103,Mai[12])</f>
        <v>0</v>
      </c>
      <c r="O37" s="11">
        <f>SUBTOTAL(103,Mai[13])</f>
        <v>0</v>
      </c>
      <c r="P37" s="11">
        <f>SUBTOTAL(103,Mai[14])</f>
        <v>0</v>
      </c>
      <c r="Q37" s="11">
        <f>SUBTOTAL(103,Mai[15])</f>
        <v>0</v>
      </c>
      <c r="R37" s="11">
        <f>SUBTOTAL(103,Mai[16])</f>
        <v>0</v>
      </c>
      <c r="S37" s="11">
        <f>SUBTOTAL(103,Mai[17])</f>
        <v>0</v>
      </c>
      <c r="T37" s="11">
        <f>SUBTOTAL(103,Mai[18])</f>
        <v>0</v>
      </c>
      <c r="U37" s="11">
        <f>SUBTOTAL(103,Mai[19])</f>
        <v>0</v>
      </c>
      <c r="V37" s="11">
        <f>SUBTOTAL(103,Mai[20])</f>
        <v>0</v>
      </c>
      <c r="W37" s="11">
        <f>SUBTOTAL(103,Mai[21])</f>
        <v>0</v>
      </c>
      <c r="X37" s="11">
        <f>SUBTOTAL(103,Mai[22])</f>
        <v>0</v>
      </c>
      <c r="Y37" s="11">
        <f>SUBTOTAL(103,Mai[23])</f>
        <v>0</v>
      </c>
      <c r="Z37" s="11">
        <f>SUBTOTAL(103,Mai[24])</f>
        <v>0</v>
      </c>
      <c r="AA37" s="11">
        <f>SUBTOTAL(103,Mai[25])</f>
        <v>0</v>
      </c>
      <c r="AB37" s="11">
        <f>SUBTOTAL(103,Mai[26])</f>
        <v>0</v>
      </c>
      <c r="AC37" s="11">
        <f>SUBTOTAL(103,Mai[27])</f>
        <v>0</v>
      </c>
      <c r="AD37" s="11">
        <f>SUBTOTAL(103,Mai[28])</f>
        <v>0</v>
      </c>
      <c r="AE37" s="11">
        <f>SUBTOTAL(103,Mai[29])</f>
        <v>0</v>
      </c>
      <c r="AF37" s="11">
        <f>SUBTOTAL(109,Mai[30])</f>
        <v>0</v>
      </c>
      <c r="AG37" s="11">
        <f>SUBTOTAL(109,Mai[31])</f>
        <v>0</v>
      </c>
      <c r="AH37" s="11">
        <f>SUBTOTAL(109,Mai[Total des jours])</f>
        <v>0</v>
      </c>
    </row>
  </sheetData>
  <mergeCells count="7">
    <mergeCell ref="C4:AG4"/>
    <mergeCell ref="D2:E2"/>
    <mergeCell ref="G2:I2"/>
    <mergeCell ref="K2:L2"/>
    <mergeCell ref="N2:Q2"/>
    <mergeCell ref="S2:V2"/>
    <mergeCell ref="X2:AA2"/>
  </mergeCells>
  <conditionalFormatting sqref="AH7:AH36">
    <cfRule type="dataBar" priority="16">
      <dataBar>
        <cfvo type="min"/>
        <cfvo type="formula" val="DATEDIF(DATE(CalendarYear,2,1),DATE(CalendarYear,3,1),&quot;d&quot;)"/>
        <color theme="2" tint="-0.249977111117893"/>
      </dataBar>
      <extLst>
        <ext xmlns:x14="http://schemas.microsoft.com/office/spreadsheetml/2009/9/main" uri="{B025F937-C7B1-47D3-B67F-A62EFF666E3E}">
          <x14:id>{5670947F-8B3C-4A6C-A280-4F5E10811DCE}</x14:id>
        </ext>
      </extLst>
    </cfRule>
  </conditionalFormatting>
  <conditionalFormatting sqref="C7:AG36">
    <cfRule type="expression" priority="2" stopIfTrue="1">
      <formula>C7=""</formula>
    </cfRule>
    <cfRule type="expression" dxfId="607" priority="4" stopIfTrue="1">
      <formula>C7=CléPersonnalisée2</formula>
    </cfRule>
    <cfRule type="expression" dxfId="606" priority="5" stopIfTrue="1">
      <formula>C7=CléPersonnalisée1</formula>
    </cfRule>
    <cfRule type="expression" dxfId="605" priority="6" stopIfTrue="1">
      <formula>C7=CléMaladie</formula>
    </cfRule>
    <cfRule type="expression" dxfId="604" priority="7" stopIfTrue="1">
      <formula>C7=CléPersonnel</formula>
    </cfRule>
    <cfRule type="expression" dxfId="603" priority="8" stopIfTrue="1">
      <formula>C7=CléCongé</formula>
    </cfRule>
  </conditionalFormatting>
  <conditionalFormatting sqref="C7:AG36">
    <cfRule type="expression" dxfId="602" priority="3">
      <formula>C7=CléPersonnalisée3</formula>
    </cfRule>
  </conditionalFormatting>
  <conditionalFormatting sqref="C37:AG37">
    <cfRule type="cellIs" dxfId="601" priority="1" operator="greaterThan">
      <formula>2</formula>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Entrez une étiquette pour décrire la clé personnalisée à gauche" sqref="N2 S2 X2"/>
    <dataValidation allowBlank="1" showInputMessage="1" showErrorMessage="1" prompt="Entrez une lettre et personnalisez l’étiquette à droite pour ajouter un élément de clé" sqref="M2 R2 W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i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type="list" allowBlank="1" showInputMessage="1" showErrorMessage="1" sqref="B7:B36">
      <formula1>#REF!</formula1>
    </dataValidation>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DATEDIF(DATE(CalendarYear,2,1),DATE(CalendarYear,3,1),"d")</xm:f>
              </x14:cfvo>
              <x14:negativeFillColor rgb="FFFF0000"/>
              <x14:axisColor rgb="FF000000"/>
            </x14:dataBar>
          </x14:cfRule>
          <xm:sqref>AH7:AH36</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2"/>
    <pageSetUpPr fitToPage="1"/>
  </sheetPr>
  <dimension ref="A1:AH37"/>
  <sheetViews>
    <sheetView showGridLines="0" zoomScaleNormal="100" workbookViewId="0">
      <pane xSplit="1" ySplit="6" topLeftCell="B7" activePane="bottomRight" state="frozen"/>
      <selection pane="topRight" activeCell="B1" sqref="B1"/>
      <selection pane="bottomLeft" activeCell="A7" sqref="A7"/>
      <selection pane="bottomRight" activeCell="C7" sqref="C7:AG36"/>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des absences des employés EQ B</v>
      </c>
    </row>
    <row r="2" spans="2:34" ht="15" customHeight="1" x14ac:dyDescent="0.25">
      <c r="B2" s="15" t="s">
        <v>0</v>
      </c>
      <c r="C2" s="3" t="s">
        <v>3</v>
      </c>
      <c r="D2" s="54" t="s">
        <v>6</v>
      </c>
      <c r="E2" s="54"/>
      <c r="F2" s="4" t="s">
        <v>57</v>
      </c>
      <c r="G2" s="53" t="s">
        <v>58</v>
      </c>
      <c r="H2" s="54"/>
      <c r="I2" s="54"/>
      <c r="J2" s="5" t="s">
        <v>10</v>
      </c>
      <c r="K2" s="54" t="s">
        <v>16</v>
      </c>
      <c r="L2" s="54"/>
      <c r="M2" s="6" t="s">
        <v>59</v>
      </c>
      <c r="N2" s="53" t="s">
        <v>60</v>
      </c>
      <c r="O2" s="54"/>
      <c r="P2" s="54"/>
      <c r="Q2" s="54"/>
      <c r="R2" s="7" t="s">
        <v>55</v>
      </c>
      <c r="S2" s="53" t="s">
        <v>56</v>
      </c>
      <c r="T2" s="54"/>
      <c r="U2" s="54"/>
      <c r="V2" s="54"/>
      <c r="W2" s="22" t="s">
        <v>62</v>
      </c>
      <c r="X2" s="53" t="s">
        <v>63</v>
      </c>
      <c r="Y2" s="54"/>
      <c r="Z2" s="54"/>
      <c r="AA2" s="54"/>
    </row>
    <row r="3" spans="2:34" ht="15" customHeight="1" x14ac:dyDescent="0.25">
      <c r="B3" s="12"/>
    </row>
    <row r="4" spans="2:34" ht="30" customHeight="1" x14ac:dyDescent="0.25">
      <c r="B4" s="10" t="s">
        <v>47</v>
      </c>
      <c r="C4" s="52" t="s">
        <v>4</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10">
        <f>AnnéeCalendrier</f>
        <v>2019</v>
      </c>
    </row>
    <row r="5" spans="2:34" ht="15" customHeight="1" x14ac:dyDescent="0.25">
      <c r="B5" s="10"/>
      <c r="C5" s="1" t="str">
        <f>TEXT(WEEKDAY(DATE(AnnéeCalendrier,6,1),1),"jjj")</f>
        <v>sam</v>
      </c>
      <c r="D5" s="1" t="str">
        <f>TEXT(WEEKDAY(DATE(AnnéeCalendrier,6,2),1),"jjj")</f>
        <v>dim</v>
      </c>
      <c r="E5" s="1" t="str">
        <f>TEXT(WEEKDAY(DATE(AnnéeCalendrier,6,3),1),"jjj")</f>
        <v>lun</v>
      </c>
      <c r="F5" s="1" t="str">
        <f>TEXT(WEEKDAY(DATE(AnnéeCalendrier,6,4),1),"jjj")</f>
        <v>mar</v>
      </c>
      <c r="G5" s="1" t="str">
        <f>TEXT(WEEKDAY(DATE(AnnéeCalendrier,6,5),1),"jjj")</f>
        <v>mer</v>
      </c>
      <c r="H5" s="1" t="str">
        <f>TEXT(WEEKDAY(DATE(AnnéeCalendrier,6,6),1),"jjj")</f>
        <v>jeu</v>
      </c>
      <c r="I5" s="1" t="str">
        <f>TEXT(WEEKDAY(DATE(AnnéeCalendrier,6,7),1),"jjj")</f>
        <v>ven</v>
      </c>
      <c r="J5" s="1" t="str">
        <f>TEXT(WEEKDAY(DATE(AnnéeCalendrier,6,8),1),"jjj")</f>
        <v>sam</v>
      </c>
      <c r="K5" s="1" t="str">
        <f>TEXT(WEEKDAY(DATE(AnnéeCalendrier,6,9),1),"jjj")</f>
        <v>dim</v>
      </c>
      <c r="L5" s="1" t="str">
        <f>TEXT(WEEKDAY(DATE(AnnéeCalendrier,6,10),1),"jjj")</f>
        <v>lun</v>
      </c>
      <c r="M5" s="1" t="str">
        <f>TEXT(WEEKDAY(DATE(AnnéeCalendrier,6,11),1),"jjj")</f>
        <v>mar</v>
      </c>
      <c r="N5" s="1" t="str">
        <f>TEXT(WEEKDAY(DATE(AnnéeCalendrier,6,12),1),"jjj")</f>
        <v>mer</v>
      </c>
      <c r="O5" s="1" t="str">
        <f>TEXT(WEEKDAY(DATE(AnnéeCalendrier,6,13),1),"jjj")</f>
        <v>jeu</v>
      </c>
      <c r="P5" s="1" t="str">
        <f>TEXT(WEEKDAY(DATE(AnnéeCalendrier,6,14),1),"jjj")</f>
        <v>ven</v>
      </c>
      <c r="Q5" s="1" t="str">
        <f>TEXT(WEEKDAY(DATE(AnnéeCalendrier,6,15),1),"jjj")</f>
        <v>sam</v>
      </c>
      <c r="R5" s="1" t="str">
        <f>TEXT(WEEKDAY(DATE(AnnéeCalendrier,6,16),1),"jjj")</f>
        <v>dim</v>
      </c>
      <c r="S5" s="1" t="str">
        <f>TEXT(WEEKDAY(DATE(AnnéeCalendrier,6,17),1),"jjj")</f>
        <v>lun</v>
      </c>
      <c r="T5" s="1" t="str">
        <f>TEXT(WEEKDAY(DATE(AnnéeCalendrier,6,18),1),"jjj")</f>
        <v>mar</v>
      </c>
      <c r="U5" s="1" t="str">
        <f>TEXT(WEEKDAY(DATE(AnnéeCalendrier,6,19),1),"jjj")</f>
        <v>mer</v>
      </c>
      <c r="V5" s="1" t="str">
        <f>TEXT(WEEKDAY(DATE(AnnéeCalendrier,6,20),1),"jjj")</f>
        <v>jeu</v>
      </c>
      <c r="W5" s="1" t="str">
        <f>TEXT(WEEKDAY(DATE(AnnéeCalendrier,6,21),1),"jjj")</f>
        <v>ven</v>
      </c>
      <c r="X5" s="1" t="str">
        <f>TEXT(WEEKDAY(DATE(AnnéeCalendrier,6,22),1),"jjj")</f>
        <v>sam</v>
      </c>
      <c r="Y5" s="1" t="str">
        <f>TEXT(WEEKDAY(DATE(AnnéeCalendrier,6,23),1),"jjj")</f>
        <v>dim</v>
      </c>
      <c r="Z5" s="1" t="str">
        <f>TEXT(WEEKDAY(DATE(AnnéeCalendrier,6,24),1),"jjj")</f>
        <v>lun</v>
      </c>
      <c r="AA5" s="1" t="str">
        <f>TEXT(WEEKDAY(DATE(AnnéeCalendrier,6,25),1),"jjj")</f>
        <v>mar</v>
      </c>
      <c r="AB5" s="1" t="str">
        <f>TEXT(WEEKDAY(DATE(AnnéeCalendrier,6,26),1),"jjj")</f>
        <v>mer</v>
      </c>
      <c r="AC5" s="1" t="str">
        <f>TEXT(WEEKDAY(DATE(AnnéeCalendrier,6,27),1),"jjj")</f>
        <v>jeu</v>
      </c>
      <c r="AD5" s="1" t="str">
        <f>TEXT(WEEKDAY(DATE(AnnéeCalendrier,6,28),1),"jjj")</f>
        <v>ven</v>
      </c>
      <c r="AE5" s="1" t="str">
        <f>TEXT(WEEKDAY(DATE(AnnéeCalendrier,6,29),1),"jjj")</f>
        <v>sam</v>
      </c>
      <c r="AF5" s="1" t="str">
        <f>TEXT(WEEKDAY(DATE(AnnéeCalendrier,6,30),1),"jjj")</f>
        <v>dim</v>
      </c>
      <c r="AG5" s="1"/>
      <c r="AH5" s="10"/>
    </row>
    <row r="6" spans="2:34" ht="15" customHeight="1" x14ac:dyDescent="0.25">
      <c r="B6" s="18" t="s">
        <v>2</v>
      </c>
      <c r="C6" s="2" t="s">
        <v>5</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15" x14ac:dyDescent="0.25">
      <c r="B7" s="19" t="str">
        <f>Paramètre!$A15</f>
        <v>A1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COUNTA(Juin[[#This Row],[1]:[31]])</f>
        <v>0</v>
      </c>
    </row>
    <row r="8" spans="2:34" ht="15" x14ac:dyDescent="0.25">
      <c r="B8" s="19" t="str">
        <f>Paramètre!$A16</f>
        <v>A2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COUNTA(Juin[[#This Row],[1]:[31]])</f>
        <v>0</v>
      </c>
    </row>
    <row r="9" spans="2:34" ht="15" x14ac:dyDescent="0.25">
      <c r="B9" s="19" t="str">
        <f>Paramètre!$A17</f>
        <v>A3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COUNTA(Juin[[#This Row],[1]:[31]])</f>
        <v>0</v>
      </c>
    </row>
    <row r="10" spans="2:34" ht="15" x14ac:dyDescent="0.25">
      <c r="B10" s="19" t="str">
        <f>Paramètre!$A18</f>
        <v>A4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COUNTA(Juin[[#This Row],[1]:[31]])</f>
        <v>0</v>
      </c>
    </row>
    <row r="11" spans="2:34" ht="15" x14ac:dyDescent="0.25">
      <c r="B11" s="19" t="str">
        <f>Paramètre!$A19</f>
        <v>A5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COUNTA(Juin[[#This Row],[1]:[31]])</f>
        <v>0</v>
      </c>
    </row>
    <row r="12" spans="2:34" ht="15" x14ac:dyDescent="0.25">
      <c r="B12" s="19" t="str">
        <f>Paramètre!$A20</f>
        <v>A6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8">
        <f>COUNTA(Juin[[#This Row],[1]:[31]])</f>
        <v>0</v>
      </c>
    </row>
    <row r="13" spans="2:34" ht="15" x14ac:dyDescent="0.25">
      <c r="B13" s="19" t="str">
        <f>Paramètre!$A21</f>
        <v>A7</v>
      </c>
      <c r="C13" s="21"/>
      <c r="D13" s="21"/>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8"/>
      <c r="AG13" s="8"/>
      <c r="AH13" s="8">
        <f>COUNTA(Juin[[#This Row],[1]:[31]])</f>
        <v>0</v>
      </c>
    </row>
    <row r="14" spans="2:34" ht="15" x14ac:dyDescent="0.25">
      <c r="B14" s="19" t="str">
        <f>Paramètre!$A22</f>
        <v>A8</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8">
        <f>COUNTA(Juin[[#This Row],[1]:[31]])</f>
        <v>0</v>
      </c>
    </row>
    <row r="15" spans="2:34" ht="15" x14ac:dyDescent="0.25">
      <c r="B15" s="19" t="str">
        <f>Paramètre!$A23</f>
        <v>A9</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8">
        <f>COUNTA(Juin[[#This Row],[1]:[31]])</f>
        <v>0</v>
      </c>
    </row>
    <row r="16" spans="2:34" ht="15" x14ac:dyDescent="0.25">
      <c r="B16" s="19" t="str">
        <f>Paramètre!$A24</f>
        <v>A10</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8">
        <f>COUNTA(Juin[[#This Row],[1]:[31]])</f>
        <v>0</v>
      </c>
    </row>
    <row r="17" spans="2:34" ht="15" x14ac:dyDescent="0.25">
      <c r="B17" s="19" t="str">
        <f>Paramètre!$A25</f>
        <v>A11</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8">
        <f>COUNTA(Juin[[#This Row],[1]:[31]])</f>
        <v>0</v>
      </c>
    </row>
    <row r="18" spans="2:34" ht="15" x14ac:dyDescent="0.25">
      <c r="B18" s="19" t="str">
        <f>Paramètre!$A26</f>
        <v>A12</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8">
        <f>COUNTA(Juin[[#This Row],[1]:[31]])</f>
        <v>0</v>
      </c>
    </row>
    <row r="19" spans="2:34" ht="15" x14ac:dyDescent="0.25">
      <c r="B19" s="19" t="str">
        <f>Paramètre!$A27</f>
        <v>A13</v>
      </c>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8">
        <f>COUNTA(Juin[[#This Row],[1]:[31]])</f>
        <v>0</v>
      </c>
    </row>
    <row r="20" spans="2:34" ht="15" x14ac:dyDescent="0.25">
      <c r="B20" s="19" t="str">
        <f>Paramètre!$A28</f>
        <v>A14</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8">
        <f>COUNTA(Juin[[#This Row],[1]:[31]])</f>
        <v>0</v>
      </c>
    </row>
    <row r="21" spans="2:34" ht="15" x14ac:dyDescent="0.25">
      <c r="B21" s="19" t="str">
        <f>Paramètre!$A29</f>
        <v>A15</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8">
        <f>COUNTA(Juin[[#This Row],[1]:[31]])</f>
        <v>0</v>
      </c>
    </row>
    <row r="22" spans="2:34" ht="15" x14ac:dyDescent="0.25">
      <c r="B22" s="19" t="str">
        <f>Paramètre!$A30</f>
        <v>A16</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8">
        <f>COUNTA(Juin[[#This Row],[1]:[31]])</f>
        <v>0</v>
      </c>
    </row>
    <row r="23" spans="2:34" ht="15" x14ac:dyDescent="0.25">
      <c r="B23" s="19" t="str">
        <f>Paramètre!$A31</f>
        <v>A17</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8">
        <f>COUNTA(Juin[[#This Row],[1]:[31]])</f>
        <v>0</v>
      </c>
    </row>
    <row r="24" spans="2:34" ht="15" x14ac:dyDescent="0.25">
      <c r="B24" s="19" t="str">
        <f>Paramètre!$A32</f>
        <v>A18</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8">
        <f>COUNTA(Juin[[#This Row],[1]:[31]])</f>
        <v>0</v>
      </c>
    </row>
    <row r="25" spans="2:34" ht="15" x14ac:dyDescent="0.25">
      <c r="B25" s="19" t="str">
        <f>Paramètre!$A33</f>
        <v>A19</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8">
        <f>COUNTA(Juin[[#This Row],[1]:[31]])</f>
        <v>0</v>
      </c>
    </row>
    <row r="26" spans="2:34" ht="15" x14ac:dyDescent="0.25">
      <c r="B26" s="19" t="str">
        <f>Paramètre!$A34</f>
        <v>A20</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8">
        <f>COUNTA(Juin[[#This Row],[1]:[31]])</f>
        <v>0</v>
      </c>
    </row>
    <row r="27" spans="2:34" ht="15" x14ac:dyDescent="0.25">
      <c r="B27" s="19" t="str">
        <f>Paramètre!$A35</f>
        <v>A21</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8">
        <f>COUNTA(Juin[[#This Row],[1]:[31]])</f>
        <v>0</v>
      </c>
    </row>
    <row r="28" spans="2:34" ht="15" x14ac:dyDescent="0.25">
      <c r="B28" s="19" t="str">
        <f>Paramètre!$A36</f>
        <v>A22</v>
      </c>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8">
        <f>COUNTA(Juin[[#This Row],[1]:[31]])</f>
        <v>0</v>
      </c>
    </row>
    <row r="29" spans="2:34" ht="15" x14ac:dyDescent="0.25">
      <c r="B29" s="19" t="str">
        <f>Paramètre!$A37</f>
        <v>A23</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8">
        <f>COUNTA(Juin[[#This Row],[1]:[31]])</f>
        <v>0</v>
      </c>
    </row>
    <row r="30" spans="2:34" ht="15" x14ac:dyDescent="0.25">
      <c r="B30" s="19" t="str">
        <f>Paramètre!$A38</f>
        <v>A24</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8">
        <f>COUNTA(Juin[[#This Row],[1]:[31]])</f>
        <v>0</v>
      </c>
    </row>
    <row r="31" spans="2:34" ht="15" x14ac:dyDescent="0.25">
      <c r="B31" s="19" t="str">
        <f>Paramètre!$A39</f>
        <v>A25</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8">
        <f>COUNTA(Juin[[#This Row],[1]:[31]])</f>
        <v>0</v>
      </c>
    </row>
    <row r="32" spans="2:34" ht="15" x14ac:dyDescent="0.25">
      <c r="B32" s="19" t="str">
        <f>Paramètre!$A40</f>
        <v>A26</v>
      </c>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8">
        <f>COUNTA(Juin[[#This Row],[1]:[31]])</f>
        <v>0</v>
      </c>
    </row>
    <row r="33" spans="2:34" ht="15" x14ac:dyDescent="0.25">
      <c r="B33" s="19" t="str">
        <f>Paramètre!$A41</f>
        <v>A27</v>
      </c>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8">
        <f>COUNTA(Juin[[#This Row],[1]:[31]])</f>
        <v>0</v>
      </c>
    </row>
    <row r="34" spans="2:34" ht="15" x14ac:dyDescent="0.25">
      <c r="B34" s="19" t="str">
        <f>Paramètre!$A42</f>
        <v>A28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8">
        <f>COUNTA(Juin[[#This Row],[1]:[31]])</f>
        <v>0</v>
      </c>
    </row>
    <row r="35" spans="2:34" ht="15" x14ac:dyDescent="0.25">
      <c r="B35" s="19" t="str">
        <f>Paramètre!$A43</f>
        <v>A29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8">
        <f>COUNTA(Juin[[#This Row],[1]:[31]])</f>
        <v>0</v>
      </c>
    </row>
    <row r="36" spans="2:34" ht="15" x14ac:dyDescent="0.25">
      <c r="B36" s="19" t="str">
        <f>Paramètre!$A44</f>
        <v>A30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8">
        <f>COUNTA(Juin[[#This Row],[1]:[31]])</f>
        <v>0</v>
      </c>
    </row>
    <row r="37" spans="2:34" ht="30" customHeight="1" x14ac:dyDescent="0.25">
      <c r="B37" s="17" t="str">
        <f>NomMois&amp;" Total"</f>
        <v>Juin Total</v>
      </c>
      <c r="C37" s="11">
        <f>SUBTOTAL(103,Juin[1])</f>
        <v>0</v>
      </c>
      <c r="D37" s="11">
        <f>SUBTOTAL(103,Juin[2])</f>
        <v>0</v>
      </c>
      <c r="E37" s="11">
        <f>SUBTOTAL(103,Juin[3])</f>
        <v>0</v>
      </c>
      <c r="F37" s="11">
        <f>SUBTOTAL(103,Juin[4])</f>
        <v>0</v>
      </c>
      <c r="G37" s="11">
        <f>SUBTOTAL(103,Juin[5])</f>
        <v>0</v>
      </c>
      <c r="H37" s="11">
        <f>SUBTOTAL(103,Juin[6])</f>
        <v>0</v>
      </c>
      <c r="I37" s="11">
        <f>SUBTOTAL(103,Juin[7])</f>
        <v>0</v>
      </c>
      <c r="J37" s="11">
        <f>SUBTOTAL(103,Juin[8])</f>
        <v>0</v>
      </c>
      <c r="K37" s="11">
        <f>SUBTOTAL(103,Juin[9])</f>
        <v>0</v>
      </c>
      <c r="L37" s="11">
        <f>SUBTOTAL(103,Juin[10])</f>
        <v>0</v>
      </c>
      <c r="M37" s="11">
        <f>SUBTOTAL(103,Juin[11])</f>
        <v>0</v>
      </c>
      <c r="N37" s="11">
        <f>SUBTOTAL(103,Juin[12])</f>
        <v>0</v>
      </c>
      <c r="O37" s="11">
        <f>SUBTOTAL(103,Juin[13])</f>
        <v>0</v>
      </c>
      <c r="P37" s="11">
        <f>SUBTOTAL(103,Juin[14])</f>
        <v>0</v>
      </c>
      <c r="Q37" s="11">
        <f>SUBTOTAL(103,Juin[15])</f>
        <v>0</v>
      </c>
      <c r="R37" s="11">
        <f>SUBTOTAL(103,Juin[16])</f>
        <v>0</v>
      </c>
      <c r="S37" s="11">
        <f>SUBTOTAL(103,Juin[17])</f>
        <v>0</v>
      </c>
      <c r="T37" s="11">
        <f>SUBTOTAL(103,Juin[18])</f>
        <v>0</v>
      </c>
      <c r="U37" s="11">
        <f>SUBTOTAL(103,Juin[19])</f>
        <v>0</v>
      </c>
      <c r="V37" s="11">
        <f>SUBTOTAL(103,Juin[20])</f>
        <v>0</v>
      </c>
      <c r="W37" s="11">
        <f>SUBTOTAL(103,Juin[21])</f>
        <v>0</v>
      </c>
      <c r="X37" s="11">
        <f>SUBTOTAL(103,Juin[22])</f>
        <v>0</v>
      </c>
      <c r="Y37" s="11">
        <f>SUBTOTAL(103,Juin[23])</f>
        <v>0</v>
      </c>
      <c r="Z37" s="11">
        <f>SUBTOTAL(103,Juin[24])</f>
        <v>0</v>
      </c>
      <c r="AA37" s="11">
        <f>SUBTOTAL(103,Juin[25])</f>
        <v>0</v>
      </c>
      <c r="AB37" s="11">
        <f>SUBTOTAL(103,Juin[26])</f>
        <v>0</v>
      </c>
      <c r="AC37" s="11">
        <f>SUBTOTAL(103,Juin[27])</f>
        <v>0</v>
      </c>
      <c r="AD37" s="11">
        <f>SUBTOTAL(103,Juin[28])</f>
        <v>0</v>
      </c>
      <c r="AE37" s="11">
        <f>SUBTOTAL(103,Juin[29])</f>
        <v>0</v>
      </c>
      <c r="AF37" s="11">
        <f>SUBTOTAL(109,Juin[30])</f>
        <v>0</v>
      </c>
      <c r="AG37" s="11">
        <f>SUBTOTAL(109,Juin[31])</f>
        <v>0</v>
      </c>
      <c r="AH37" s="11">
        <f>SUBTOTAL(109,Juin[Total des jours])</f>
        <v>0</v>
      </c>
    </row>
  </sheetData>
  <mergeCells count="7">
    <mergeCell ref="C4:AG4"/>
    <mergeCell ref="D2:E2"/>
    <mergeCell ref="G2:I2"/>
    <mergeCell ref="K2:L2"/>
    <mergeCell ref="N2:Q2"/>
    <mergeCell ref="S2:V2"/>
    <mergeCell ref="X2:AA2"/>
  </mergeCells>
  <conditionalFormatting sqref="AH7:AH36">
    <cfRule type="dataBar" priority="16">
      <dataBar>
        <cfvo type="min"/>
        <cfvo type="formula" val="DATEDIF(DATE(CalendarYear,2,1),DATE(CalendarYear,3,1),&quot;d&quot;)"/>
        <color theme="2" tint="-0.249977111117893"/>
      </dataBar>
      <extLst>
        <ext xmlns:x14="http://schemas.microsoft.com/office/spreadsheetml/2009/9/main" uri="{B025F937-C7B1-47D3-B67F-A62EFF666E3E}">
          <x14:id>{5E94D469-7B22-408B-924D-8DC8A136AD3B}</x14:id>
        </ext>
      </extLst>
    </cfRule>
  </conditionalFormatting>
  <conditionalFormatting sqref="C7:AG36">
    <cfRule type="expression" priority="2" stopIfTrue="1">
      <formula>C7=""</formula>
    </cfRule>
    <cfRule type="expression" dxfId="531" priority="4" stopIfTrue="1">
      <formula>C7=CléPersonnalisée2</formula>
    </cfRule>
    <cfRule type="expression" dxfId="530" priority="5" stopIfTrue="1">
      <formula>C7=CléPersonnalisée1</formula>
    </cfRule>
    <cfRule type="expression" dxfId="529" priority="6" stopIfTrue="1">
      <formula>C7=CléMaladie</formula>
    </cfRule>
    <cfRule type="expression" dxfId="528" priority="7" stopIfTrue="1">
      <formula>C7=CléPersonnel</formula>
    </cfRule>
    <cfRule type="expression" dxfId="527" priority="8" stopIfTrue="1">
      <formula>C7=CléCongé</formula>
    </cfRule>
  </conditionalFormatting>
  <conditionalFormatting sqref="C7:AG36">
    <cfRule type="expression" dxfId="526" priority="3">
      <formula>C7=CléPersonnalisée3</formula>
    </cfRule>
  </conditionalFormatting>
  <conditionalFormatting sqref="C37:AG37">
    <cfRule type="cellIs" dxfId="525" priority="1" operator="greaterThan">
      <formula>2</formula>
    </cfRule>
  </conditionalFormatting>
  <dataValidations count="1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e juin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W2"/>
    <dataValidation allowBlank="1" showInputMessage="1" showErrorMessage="1" prompt="Entrez une étiquette pour décrire la clé personnalisée à gauche" sqref="N2 S2 X2"/>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type="list" allowBlank="1" showInputMessage="1" showErrorMessage="1" sqref="B7:B36">
      <formula1>#REF!</formula1>
    </dataValidation>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DATEDIF(DATE(CalendarYear,2,1),DATE(CalendarYear,3,1),"d")</xm:f>
              </x14:cfvo>
              <x14:negativeFillColor rgb="FFFF0000"/>
              <x14:axisColor rgb="FF000000"/>
            </x14:dataBar>
          </x14:cfRule>
          <xm:sqref>AH7:AH36</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1"/>
    <pageSetUpPr fitToPage="1"/>
  </sheetPr>
  <dimension ref="A1:AH37"/>
  <sheetViews>
    <sheetView showGridLines="0" zoomScaleNormal="100" workbookViewId="0">
      <pane xSplit="1" ySplit="6" topLeftCell="B28" activePane="bottomRight" state="frozen"/>
      <selection pane="topRight" activeCell="B1" sqref="B1"/>
      <selection pane="bottomLeft" activeCell="A7" sqref="A7"/>
      <selection pane="bottomRight" activeCell="C7" sqref="C7:AG36"/>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des absences des employés EQ B</v>
      </c>
    </row>
    <row r="2" spans="2:34" ht="15" customHeight="1" x14ac:dyDescent="0.25">
      <c r="B2" s="15" t="s">
        <v>0</v>
      </c>
      <c r="C2" s="3" t="s">
        <v>3</v>
      </c>
      <c r="D2" s="54" t="s">
        <v>6</v>
      </c>
      <c r="E2" s="54"/>
      <c r="F2" s="4" t="s">
        <v>57</v>
      </c>
      <c r="G2" s="53" t="s">
        <v>58</v>
      </c>
      <c r="H2" s="54"/>
      <c r="I2" s="54"/>
      <c r="J2" s="5" t="s">
        <v>10</v>
      </c>
      <c r="K2" s="54" t="s">
        <v>16</v>
      </c>
      <c r="L2" s="54"/>
      <c r="M2" s="6" t="s">
        <v>59</v>
      </c>
      <c r="N2" s="53" t="s">
        <v>60</v>
      </c>
      <c r="O2" s="54"/>
      <c r="P2" s="54"/>
      <c r="Q2" s="54"/>
      <c r="R2" s="7" t="s">
        <v>55</v>
      </c>
      <c r="S2" s="53" t="s">
        <v>56</v>
      </c>
      <c r="T2" s="54"/>
      <c r="U2" s="54"/>
      <c r="V2" s="54"/>
      <c r="W2" s="22" t="s">
        <v>62</v>
      </c>
      <c r="X2" s="53" t="s">
        <v>63</v>
      </c>
      <c r="Y2" s="54"/>
      <c r="Z2" s="54"/>
      <c r="AA2" s="54"/>
    </row>
    <row r="3" spans="2:34" ht="15" customHeight="1" x14ac:dyDescent="0.25">
      <c r="B3" s="12"/>
    </row>
    <row r="4" spans="2:34" ht="30" customHeight="1" x14ac:dyDescent="0.25">
      <c r="B4" s="10" t="s">
        <v>48</v>
      </c>
      <c r="C4" s="52" t="s">
        <v>4</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10">
        <f>AnnéeCalendrier</f>
        <v>2019</v>
      </c>
    </row>
    <row r="5" spans="2:34" ht="15" customHeight="1" x14ac:dyDescent="0.25">
      <c r="B5" s="10"/>
      <c r="C5" s="1" t="str">
        <f>TEXT(WEEKDAY(DATE(AnnéeCalendrier,7,1),1),"jjj")</f>
        <v>lun</v>
      </c>
      <c r="D5" s="1" t="str">
        <f>TEXT(WEEKDAY(DATE(AnnéeCalendrier,7,2),1),"jjj")</f>
        <v>mar</v>
      </c>
      <c r="E5" s="1" t="str">
        <f>TEXT(WEEKDAY(DATE(AnnéeCalendrier,7,3),1),"jjj")</f>
        <v>mer</v>
      </c>
      <c r="F5" s="1" t="str">
        <f>TEXT(WEEKDAY(DATE(AnnéeCalendrier,7,4),1),"jjj")</f>
        <v>jeu</v>
      </c>
      <c r="G5" s="1" t="str">
        <f>TEXT(WEEKDAY(DATE(AnnéeCalendrier,7,5),1),"jjj")</f>
        <v>ven</v>
      </c>
      <c r="H5" s="1" t="str">
        <f>TEXT(WEEKDAY(DATE(AnnéeCalendrier,7,6),1),"jjj")</f>
        <v>sam</v>
      </c>
      <c r="I5" s="1" t="str">
        <f>TEXT(WEEKDAY(DATE(AnnéeCalendrier,7,7),1),"jjj")</f>
        <v>dim</v>
      </c>
      <c r="J5" s="1" t="str">
        <f>TEXT(WEEKDAY(DATE(AnnéeCalendrier,7,8),1),"jjj")</f>
        <v>lun</v>
      </c>
      <c r="K5" s="1" t="str">
        <f>TEXT(WEEKDAY(DATE(AnnéeCalendrier,7,9),1),"jjj")</f>
        <v>mar</v>
      </c>
      <c r="L5" s="1" t="str">
        <f>TEXT(WEEKDAY(DATE(AnnéeCalendrier,7,10),1),"jjj")</f>
        <v>mer</v>
      </c>
      <c r="M5" s="1" t="str">
        <f>TEXT(WEEKDAY(DATE(AnnéeCalendrier,7,11),1),"jjj")</f>
        <v>jeu</v>
      </c>
      <c r="N5" s="1" t="str">
        <f>TEXT(WEEKDAY(DATE(AnnéeCalendrier,7,12),1),"jjj")</f>
        <v>ven</v>
      </c>
      <c r="O5" s="1" t="str">
        <f>TEXT(WEEKDAY(DATE(AnnéeCalendrier,7,13),1),"jjj")</f>
        <v>sam</v>
      </c>
      <c r="P5" s="1" t="str">
        <f>TEXT(WEEKDAY(DATE(AnnéeCalendrier,7,14),1),"jjj")</f>
        <v>dim</v>
      </c>
      <c r="Q5" s="1" t="str">
        <f>TEXT(WEEKDAY(DATE(AnnéeCalendrier,7,15),1),"jjj")</f>
        <v>lun</v>
      </c>
      <c r="R5" s="1" t="str">
        <f>TEXT(WEEKDAY(DATE(AnnéeCalendrier,7,16),1),"jjj")</f>
        <v>mar</v>
      </c>
      <c r="S5" s="1" t="str">
        <f>TEXT(WEEKDAY(DATE(AnnéeCalendrier,7,17),1),"jjj")</f>
        <v>mer</v>
      </c>
      <c r="T5" s="1" t="str">
        <f>TEXT(WEEKDAY(DATE(AnnéeCalendrier,7,18),1),"jjj")</f>
        <v>jeu</v>
      </c>
      <c r="U5" s="1" t="str">
        <f>TEXT(WEEKDAY(DATE(AnnéeCalendrier,7,19),1),"jjj")</f>
        <v>ven</v>
      </c>
      <c r="V5" s="1" t="str">
        <f>TEXT(WEEKDAY(DATE(AnnéeCalendrier,7,20),1),"jjj")</f>
        <v>sam</v>
      </c>
      <c r="W5" s="1" t="str">
        <f>TEXT(WEEKDAY(DATE(AnnéeCalendrier,7,21),1),"jjj")</f>
        <v>dim</v>
      </c>
      <c r="X5" s="1" t="str">
        <f>TEXT(WEEKDAY(DATE(AnnéeCalendrier,7,22),1),"jjj")</f>
        <v>lun</v>
      </c>
      <c r="Y5" s="1" t="str">
        <f>TEXT(WEEKDAY(DATE(AnnéeCalendrier,7,23),1),"jjj")</f>
        <v>mar</v>
      </c>
      <c r="Z5" s="1" t="str">
        <f>TEXT(WEEKDAY(DATE(AnnéeCalendrier,7,24),1),"jjj")</f>
        <v>mer</v>
      </c>
      <c r="AA5" s="1" t="str">
        <f>TEXT(WEEKDAY(DATE(AnnéeCalendrier,7,25),1),"jjj")</f>
        <v>jeu</v>
      </c>
      <c r="AB5" s="1" t="str">
        <f>TEXT(WEEKDAY(DATE(AnnéeCalendrier,7,26),1),"jjj")</f>
        <v>ven</v>
      </c>
      <c r="AC5" s="1" t="str">
        <f>TEXT(WEEKDAY(DATE(AnnéeCalendrier,7,27),1),"jjj")</f>
        <v>sam</v>
      </c>
      <c r="AD5" s="1" t="str">
        <f>TEXT(WEEKDAY(DATE(AnnéeCalendrier,7,28),1),"jjj")</f>
        <v>dim</v>
      </c>
      <c r="AE5" s="1" t="str">
        <f>TEXT(WEEKDAY(DATE(AnnéeCalendrier,7,29),1),"jjj")</f>
        <v>lun</v>
      </c>
      <c r="AF5" s="1" t="str">
        <f>TEXT(WEEKDAY(DATE(AnnéeCalendrier,7,30),1),"jjj")</f>
        <v>mar</v>
      </c>
      <c r="AG5" s="1" t="str">
        <f>TEXT(WEEKDAY(DATE(AnnéeCalendrier,7,31),1),"jjj")</f>
        <v>mer</v>
      </c>
      <c r="AH5" s="10"/>
    </row>
    <row r="6" spans="2:34" ht="15" customHeight="1" x14ac:dyDescent="0.25">
      <c r="B6" s="18" t="s">
        <v>2</v>
      </c>
      <c r="C6" s="2" t="s">
        <v>5</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15" x14ac:dyDescent="0.25">
      <c r="B7" s="19" t="str">
        <f>Paramètre!$A15</f>
        <v>A1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COUNTA(Juillet[[#This Row],[1]:[31]])</f>
        <v>0</v>
      </c>
    </row>
    <row r="8" spans="2:34" ht="15" x14ac:dyDescent="0.25">
      <c r="B8" s="19" t="str">
        <f>Paramètre!$A16</f>
        <v>A2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COUNTA(Juillet[[#This Row],[1]:[31]])</f>
        <v>0</v>
      </c>
    </row>
    <row r="9" spans="2:34" ht="15" x14ac:dyDescent="0.25">
      <c r="B9" s="19" t="str">
        <f>Paramètre!$A17</f>
        <v>A3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COUNTA(Juillet[[#This Row],[1]:[31]])</f>
        <v>0</v>
      </c>
    </row>
    <row r="10" spans="2:34" ht="15" x14ac:dyDescent="0.25">
      <c r="B10" s="19" t="str">
        <f>Paramètre!$A18</f>
        <v>A4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COUNTA(Juillet[[#This Row],[1]:[31]])</f>
        <v>0</v>
      </c>
    </row>
    <row r="11" spans="2:34" ht="15" x14ac:dyDescent="0.25">
      <c r="B11" s="19" t="str">
        <f>Paramètre!$A19</f>
        <v>A5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COUNTA(Juillet[[#This Row],[1]:[31]])</f>
        <v>0</v>
      </c>
    </row>
    <row r="12" spans="2:34" ht="15" x14ac:dyDescent="0.25">
      <c r="B12" s="19" t="str">
        <f>Paramètre!$A20</f>
        <v>A6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8">
        <f>COUNTA(Juillet[[#This Row],[1]:[31]])</f>
        <v>0</v>
      </c>
    </row>
    <row r="13" spans="2:34" ht="15" x14ac:dyDescent="0.25">
      <c r="B13" s="19" t="str">
        <f>Paramètre!$A21</f>
        <v>A7</v>
      </c>
      <c r="C13" s="21"/>
      <c r="D13" s="21"/>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8"/>
      <c r="AG13" s="8"/>
      <c r="AH13" s="8">
        <f>COUNTA(Juillet[[#This Row],[1]:[31]])</f>
        <v>0</v>
      </c>
    </row>
    <row r="14" spans="2:34" ht="15" x14ac:dyDescent="0.25">
      <c r="B14" s="19" t="str">
        <f>Paramètre!$A22</f>
        <v>A8</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8">
        <f>COUNTA(Juillet[[#This Row],[1]:[31]])</f>
        <v>0</v>
      </c>
    </row>
    <row r="15" spans="2:34" ht="15" x14ac:dyDescent="0.25">
      <c r="B15" s="19" t="str">
        <f>Paramètre!$A23</f>
        <v>A9</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8">
        <f>COUNTA(Juillet[[#This Row],[1]:[31]])</f>
        <v>0</v>
      </c>
    </row>
    <row r="16" spans="2:34" ht="15" x14ac:dyDescent="0.25">
      <c r="B16" s="19" t="str">
        <f>Paramètre!$A24</f>
        <v>A10</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8">
        <f>COUNTA(Juillet[[#This Row],[1]:[31]])</f>
        <v>0</v>
      </c>
    </row>
    <row r="17" spans="2:34" ht="15" x14ac:dyDescent="0.25">
      <c r="B17" s="19" t="str">
        <f>Paramètre!$A25</f>
        <v>A11</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8">
        <f>COUNTA(Juillet[[#This Row],[1]:[31]])</f>
        <v>0</v>
      </c>
    </row>
    <row r="18" spans="2:34" ht="15" x14ac:dyDescent="0.25">
      <c r="B18" s="19" t="str">
        <f>Paramètre!$A26</f>
        <v>A12</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8">
        <f>COUNTA(Juillet[[#This Row],[1]:[31]])</f>
        <v>0</v>
      </c>
    </row>
    <row r="19" spans="2:34" ht="15" x14ac:dyDescent="0.25">
      <c r="B19" s="19" t="str">
        <f>Paramètre!$A27</f>
        <v>A13</v>
      </c>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8">
        <f>COUNTA(Juillet[[#This Row],[1]:[31]])</f>
        <v>0</v>
      </c>
    </row>
    <row r="20" spans="2:34" ht="15" x14ac:dyDescent="0.25">
      <c r="B20" s="19" t="str">
        <f>Paramètre!$A28</f>
        <v>A14</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8">
        <f>COUNTA(Juillet[[#This Row],[1]:[31]])</f>
        <v>0</v>
      </c>
    </row>
    <row r="21" spans="2:34" ht="15" x14ac:dyDescent="0.25">
      <c r="B21" s="19" t="str">
        <f>Paramètre!$A29</f>
        <v>A15</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8">
        <f>COUNTA(Juillet[[#This Row],[1]:[31]])</f>
        <v>0</v>
      </c>
    </row>
    <row r="22" spans="2:34" ht="15" x14ac:dyDescent="0.25">
      <c r="B22" s="19" t="str">
        <f>Paramètre!$A30</f>
        <v>A16</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8">
        <f>COUNTA(Juillet[[#This Row],[1]:[31]])</f>
        <v>0</v>
      </c>
    </row>
    <row r="23" spans="2:34" ht="15" x14ac:dyDescent="0.25">
      <c r="B23" s="19" t="str">
        <f>Paramètre!$A31</f>
        <v>A17</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8">
        <f>COUNTA(Juillet[[#This Row],[1]:[31]])</f>
        <v>0</v>
      </c>
    </row>
    <row r="24" spans="2:34" ht="15" x14ac:dyDescent="0.25">
      <c r="B24" s="19" t="str">
        <f>Paramètre!$A32</f>
        <v>A18</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8">
        <f>COUNTA(Juillet[[#This Row],[1]:[31]])</f>
        <v>0</v>
      </c>
    </row>
    <row r="25" spans="2:34" ht="15" x14ac:dyDescent="0.25">
      <c r="B25" s="19" t="str">
        <f>Paramètre!$A33</f>
        <v>A19</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8">
        <f>COUNTA(Juillet[[#This Row],[1]:[31]])</f>
        <v>0</v>
      </c>
    </row>
    <row r="26" spans="2:34" ht="15" x14ac:dyDescent="0.25">
      <c r="B26" s="19" t="str">
        <f>Paramètre!$A34</f>
        <v>A20</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8">
        <f>COUNTA(Juillet[[#This Row],[1]:[31]])</f>
        <v>0</v>
      </c>
    </row>
    <row r="27" spans="2:34" ht="15" x14ac:dyDescent="0.25">
      <c r="B27" s="19" t="str">
        <f>Paramètre!$A35</f>
        <v>A21</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8">
        <f>COUNTA(Juillet[[#This Row],[1]:[31]])</f>
        <v>0</v>
      </c>
    </row>
    <row r="28" spans="2:34" ht="15" x14ac:dyDescent="0.25">
      <c r="B28" s="19" t="str">
        <f>Paramètre!$A36</f>
        <v>A22</v>
      </c>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8">
        <f>COUNTA(Juillet[[#This Row],[1]:[31]])</f>
        <v>0</v>
      </c>
    </row>
    <row r="29" spans="2:34" ht="15" x14ac:dyDescent="0.25">
      <c r="B29" s="19" t="str">
        <f>Paramètre!$A37</f>
        <v>A23</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8">
        <f>COUNTA(Juillet[[#This Row],[1]:[31]])</f>
        <v>0</v>
      </c>
    </row>
    <row r="30" spans="2:34" ht="15" x14ac:dyDescent="0.25">
      <c r="B30" s="19" t="str">
        <f>Paramètre!$A38</f>
        <v>A24</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8">
        <f>COUNTA(Juillet[[#This Row],[1]:[31]])</f>
        <v>0</v>
      </c>
    </row>
    <row r="31" spans="2:34" ht="15" x14ac:dyDescent="0.25">
      <c r="B31" s="19" t="str">
        <f>Paramètre!$A39</f>
        <v>A25</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8">
        <f>COUNTA(Juillet[[#This Row],[1]:[31]])</f>
        <v>0</v>
      </c>
    </row>
    <row r="32" spans="2:34" ht="15" x14ac:dyDescent="0.25">
      <c r="B32" s="19" t="str">
        <f>Paramètre!$A40</f>
        <v>A26</v>
      </c>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8">
        <f>COUNTA(Juillet[[#This Row],[1]:[31]])</f>
        <v>0</v>
      </c>
    </row>
    <row r="33" spans="2:34" ht="15" x14ac:dyDescent="0.25">
      <c r="B33" s="19" t="str">
        <f>Paramètre!$A41</f>
        <v>A27</v>
      </c>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8">
        <f>COUNTA(Juillet[[#This Row],[1]:[31]])</f>
        <v>0</v>
      </c>
    </row>
    <row r="34" spans="2:34" ht="15" x14ac:dyDescent="0.25">
      <c r="B34" s="19" t="str">
        <f>Paramètre!$A42</f>
        <v>A28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8">
        <f>COUNTA(Juillet[[#This Row],[1]:[31]])</f>
        <v>0</v>
      </c>
    </row>
    <row r="35" spans="2:34" ht="15" x14ac:dyDescent="0.25">
      <c r="B35" s="19" t="str">
        <f>Paramètre!$A43</f>
        <v>A29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8">
        <f>COUNTA(Juillet[[#This Row],[1]:[31]])</f>
        <v>0</v>
      </c>
    </row>
    <row r="36" spans="2:34" ht="15" x14ac:dyDescent="0.25">
      <c r="B36" s="19" t="str">
        <f>Paramètre!$A44</f>
        <v>A30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8">
        <f>COUNTA(Juillet[[#This Row],[1]:[31]])</f>
        <v>0</v>
      </c>
    </row>
    <row r="37" spans="2:34" ht="30" customHeight="1" x14ac:dyDescent="0.25">
      <c r="B37" s="17" t="str">
        <f>NomMois&amp;" Total"</f>
        <v>Juillet Total</v>
      </c>
      <c r="C37" s="11">
        <f>SUBTOTAL(103,Juillet[1])</f>
        <v>0</v>
      </c>
      <c r="D37" s="11">
        <f>SUBTOTAL(103,Juillet[2])</f>
        <v>0</v>
      </c>
      <c r="E37" s="11">
        <f>SUBTOTAL(103,Juillet[3])</f>
        <v>0</v>
      </c>
      <c r="F37" s="11">
        <f>SUBTOTAL(103,Juillet[4])</f>
        <v>0</v>
      </c>
      <c r="G37" s="11">
        <f>SUBTOTAL(103,Juillet[5])</f>
        <v>0</v>
      </c>
      <c r="H37" s="11">
        <f>SUBTOTAL(103,Juillet[6])</f>
        <v>0</v>
      </c>
      <c r="I37" s="11">
        <f>SUBTOTAL(103,Juillet[7])</f>
        <v>0</v>
      </c>
      <c r="J37" s="11">
        <f>SUBTOTAL(103,Juillet[8])</f>
        <v>0</v>
      </c>
      <c r="K37" s="11">
        <f>SUBTOTAL(103,Juillet[9])</f>
        <v>0</v>
      </c>
      <c r="L37" s="11">
        <f>SUBTOTAL(103,Juillet[10])</f>
        <v>0</v>
      </c>
      <c r="M37" s="11">
        <f>SUBTOTAL(103,Juillet[11])</f>
        <v>0</v>
      </c>
      <c r="N37" s="11">
        <f>SUBTOTAL(103,Juillet[12])</f>
        <v>0</v>
      </c>
      <c r="O37" s="11">
        <f>SUBTOTAL(103,Juillet[13])</f>
        <v>0</v>
      </c>
      <c r="P37" s="11">
        <f>SUBTOTAL(103,Juillet[14])</f>
        <v>0</v>
      </c>
      <c r="Q37" s="11">
        <f>SUBTOTAL(103,Juillet[15])</f>
        <v>0</v>
      </c>
      <c r="R37" s="11">
        <f>SUBTOTAL(103,Juillet[16])</f>
        <v>0</v>
      </c>
      <c r="S37" s="11">
        <f>SUBTOTAL(103,Juillet[17])</f>
        <v>0</v>
      </c>
      <c r="T37" s="11">
        <f>SUBTOTAL(103,Juillet[18])</f>
        <v>0</v>
      </c>
      <c r="U37" s="11">
        <f>SUBTOTAL(103,Juillet[19])</f>
        <v>0</v>
      </c>
      <c r="V37" s="11">
        <f>SUBTOTAL(103,Juillet[20])</f>
        <v>0</v>
      </c>
      <c r="W37" s="11">
        <f>SUBTOTAL(103,Juillet[21])</f>
        <v>0</v>
      </c>
      <c r="X37" s="11">
        <f>SUBTOTAL(103,Juillet[22])</f>
        <v>0</v>
      </c>
      <c r="Y37" s="11">
        <f>SUBTOTAL(103,Juillet[23])</f>
        <v>0</v>
      </c>
      <c r="Z37" s="11">
        <f>SUBTOTAL(103,Juillet[24])</f>
        <v>0</v>
      </c>
      <c r="AA37" s="11">
        <f>SUBTOTAL(103,Juillet[25])</f>
        <v>0</v>
      </c>
      <c r="AB37" s="11">
        <f>SUBTOTAL(103,Juillet[26])</f>
        <v>0</v>
      </c>
      <c r="AC37" s="11">
        <f>SUBTOTAL(103,Juillet[27])</f>
        <v>0</v>
      </c>
      <c r="AD37" s="11">
        <f>SUBTOTAL(103,Juillet[28])</f>
        <v>0</v>
      </c>
      <c r="AE37" s="11">
        <f>SUBTOTAL(103,Juillet[29])</f>
        <v>0</v>
      </c>
      <c r="AF37" s="11">
        <f>SUBTOTAL(109,Juillet[30])</f>
        <v>0</v>
      </c>
      <c r="AG37" s="11">
        <f>SUBTOTAL(109,Juillet[31])</f>
        <v>0</v>
      </c>
      <c r="AH37" s="11">
        <f>SUBTOTAL(109,Juillet[Total des jours])</f>
        <v>0</v>
      </c>
    </row>
  </sheetData>
  <mergeCells count="7">
    <mergeCell ref="C4:AG4"/>
    <mergeCell ref="D2:E2"/>
    <mergeCell ref="G2:I2"/>
    <mergeCell ref="K2:L2"/>
    <mergeCell ref="N2:Q2"/>
    <mergeCell ref="S2:V2"/>
    <mergeCell ref="X2:AA2"/>
  </mergeCells>
  <conditionalFormatting sqref="AH7:AH36">
    <cfRule type="dataBar" priority="16">
      <dataBar>
        <cfvo type="min"/>
        <cfvo type="formula" val="DATEDIF(DATE(CalendarYear,2,1),DATE(CalendarYear,3,1),&quot;d&quot;)"/>
        <color theme="2" tint="-0.249977111117893"/>
      </dataBar>
      <extLst>
        <ext xmlns:x14="http://schemas.microsoft.com/office/spreadsheetml/2009/9/main" uri="{B025F937-C7B1-47D3-B67F-A62EFF666E3E}">
          <x14:id>{254B88EB-3F38-498B-8962-F28560080902}</x14:id>
        </ext>
      </extLst>
    </cfRule>
  </conditionalFormatting>
  <conditionalFormatting sqref="C7:AG36">
    <cfRule type="expression" priority="2" stopIfTrue="1">
      <formula>C7=""</formula>
    </cfRule>
    <cfRule type="expression" dxfId="455" priority="4" stopIfTrue="1">
      <formula>C7=CléPersonnalisée2</formula>
    </cfRule>
    <cfRule type="expression" dxfId="454" priority="5" stopIfTrue="1">
      <formula>C7=CléPersonnalisée1</formula>
    </cfRule>
    <cfRule type="expression" dxfId="453" priority="6" stopIfTrue="1">
      <formula>C7=CléMaladie</formula>
    </cfRule>
    <cfRule type="expression" dxfId="452" priority="7" stopIfTrue="1">
      <formula>C7=CléPersonnel</formula>
    </cfRule>
    <cfRule type="expression" dxfId="451" priority="8" stopIfTrue="1">
      <formula>C7=CléCongé</formula>
    </cfRule>
  </conditionalFormatting>
  <conditionalFormatting sqref="C7:AG36">
    <cfRule type="expression" dxfId="450" priority="3">
      <formula>C7=CléPersonnalisée3</formula>
    </cfRule>
  </conditionalFormatting>
  <conditionalFormatting sqref="C37:AG37">
    <cfRule type="cellIs" dxfId="449" priority="1" operator="greaterThan">
      <formula>2</formula>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Entrez une étiquette pour décrire la clé personnalisée à gauche" sqref="N2 S2 X2"/>
    <dataValidation allowBlank="1" showInputMessage="1" showErrorMessage="1" prompt="Entrez une lettre et personnalisez l’étiquette à droite pour ajouter un élément de clé" sqref="M2 R2 W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juillet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type="list" allowBlank="1" showInputMessage="1" showErrorMessage="1" sqref="B7:B36">
      <formula1>#REF!</formula1>
    </dataValidation>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254B88EB-3F38-498B-8962-F28560080902}">
            <x14:dataBar minLength="0" maxLength="100">
              <x14:cfvo type="autoMin"/>
              <x14:cfvo type="formula">
                <xm:f>DATEDIF(DATE(CalendarYear,2,1),DATE(CalendarYear,3,1),"d")</xm:f>
              </x14:cfvo>
              <x14:negativeFillColor rgb="FFFF0000"/>
              <x14:axisColor rgb="FF000000"/>
            </x14:dataBar>
          </x14:cfRule>
          <xm:sqref>AH7:AH36</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2" tint="-0.749992370372631"/>
    <pageSetUpPr fitToPage="1"/>
  </sheetPr>
  <dimension ref="A1:AH37"/>
  <sheetViews>
    <sheetView showGridLines="0" zoomScaleNormal="100" workbookViewId="0">
      <pane xSplit="1" ySplit="6" topLeftCell="B7" activePane="bottomRight" state="frozen"/>
      <selection pane="topRight" activeCell="B1" sqref="B1"/>
      <selection pane="bottomLeft" activeCell="A7" sqref="A7"/>
      <selection pane="bottomRight" activeCell="C7" sqref="C7:AG36"/>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des absences des employés EQ B</v>
      </c>
    </row>
    <row r="2" spans="2:34" ht="15" customHeight="1" x14ac:dyDescent="0.25">
      <c r="B2" s="15" t="s">
        <v>0</v>
      </c>
      <c r="C2" s="3" t="s">
        <v>3</v>
      </c>
      <c r="D2" s="54" t="s">
        <v>6</v>
      </c>
      <c r="E2" s="54"/>
      <c r="F2" s="4" t="s">
        <v>57</v>
      </c>
      <c r="G2" s="53" t="s">
        <v>58</v>
      </c>
      <c r="H2" s="54"/>
      <c r="I2" s="54"/>
      <c r="J2" s="5" t="s">
        <v>10</v>
      </c>
      <c r="K2" s="54" t="s">
        <v>16</v>
      </c>
      <c r="L2" s="54"/>
      <c r="M2" s="6" t="s">
        <v>59</v>
      </c>
      <c r="N2" s="53" t="s">
        <v>60</v>
      </c>
      <c r="O2" s="54"/>
      <c r="P2" s="54"/>
      <c r="Q2" s="54"/>
      <c r="R2" s="7" t="s">
        <v>55</v>
      </c>
      <c r="S2" s="53" t="s">
        <v>56</v>
      </c>
      <c r="T2" s="54"/>
      <c r="U2" s="54"/>
      <c r="V2" s="54"/>
      <c r="W2" s="22" t="s">
        <v>62</v>
      </c>
      <c r="X2" s="53" t="s">
        <v>63</v>
      </c>
      <c r="Y2" s="54"/>
      <c r="Z2" s="54"/>
      <c r="AA2" s="54"/>
    </row>
    <row r="3" spans="2:34" ht="15" customHeight="1" x14ac:dyDescent="0.25">
      <c r="B3" s="12"/>
    </row>
    <row r="4" spans="2:34" ht="30" customHeight="1" x14ac:dyDescent="0.25">
      <c r="B4" s="10" t="s">
        <v>49</v>
      </c>
      <c r="C4" s="52" t="s">
        <v>4</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10">
        <f>AnnéeCalendrier</f>
        <v>2019</v>
      </c>
    </row>
    <row r="5" spans="2:34" ht="15" customHeight="1" x14ac:dyDescent="0.25">
      <c r="B5" s="10"/>
      <c r="C5" s="1" t="str">
        <f>TEXT(WEEKDAY(DATE(AnnéeCalendrier,8,1),1),"jjj")</f>
        <v>jeu</v>
      </c>
      <c r="D5" s="1" t="str">
        <f>TEXT(WEEKDAY(DATE(AnnéeCalendrier,8,2),1),"jjj")</f>
        <v>ven</v>
      </c>
      <c r="E5" s="1" t="str">
        <f>TEXT(WEEKDAY(DATE(AnnéeCalendrier,8,3),1),"jjj")</f>
        <v>sam</v>
      </c>
      <c r="F5" s="1" t="str">
        <f>TEXT(WEEKDAY(DATE(AnnéeCalendrier,8,4),1),"jjj")</f>
        <v>dim</v>
      </c>
      <c r="G5" s="1" t="str">
        <f>TEXT(WEEKDAY(DATE(AnnéeCalendrier,8,5),1),"jjj")</f>
        <v>lun</v>
      </c>
      <c r="H5" s="1" t="str">
        <f>TEXT(WEEKDAY(DATE(AnnéeCalendrier,8,6),1),"jjj")</f>
        <v>mar</v>
      </c>
      <c r="I5" s="1" t="str">
        <f>TEXT(WEEKDAY(DATE(AnnéeCalendrier,8,7),1),"jjj")</f>
        <v>mer</v>
      </c>
      <c r="J5" s="1" t="str">
        <f>TEXT(WEEKDAY(DATE(AnnéeCalendrier,8,8),1),"jjj")</f>
        <v>jeu</v>
      </c>
      <c r="K5" s="1" t="str">
        <f>TEXT(WEEKDAY(DATE(AnnéeCalendrier,8,9),1),"jjj")</f>
        <v>ven</v>
      </c>
      <c r="L5" s="1" t="str">
        <f>TEXT(WEEKDAY(DATE(AnnéeCalendrier,8,10),1),"jjj")</f>
        <v>sam</v>
      </c>
      <c r="M5" s="1" t="str">
        <f>TEXT(WEEKDAY(DATE(AnnéeCalendrier,8,11),1),"jjj")</f>
        <v>dim</v>
      </c>
      <c r="N5" s="1" t="str">
        <f>TEXT(WEEKDAY(DATE(AnnéeCalendrier,8,12),1),"jjj")</f>
        <v>lun</v>
      </c>
      <c r="O5" s="1" t="str">
        <f>TEXT(WEEKDAY(DATE(AnnéeCalendrier,8,13),1),"jjj")</f>
        <v>mar</v>
      </c>
      <c r="P5" s="1" t="str">
        <f>TEXT(WEEKDAY(DATE(AnnéeCalendrier,8,14),1),"jjj")</f>
        <v>mer</v>
      </c>
      <c r="Q5" s="1" t="str">
        <f>TEXT(WEEKDAY(DATE(AnnéeCalendrier,8,15),1),"jjj")</f>
        <v>jeu</v>
      </c>
      <c r="R5" s="1" t="str">
        <f>TEXT(WEEKDAY(DATE(AnnéeCalendrier,8,16),1),"jjj")</f>
        <v>ven</v>
      </c>
      <c r="S5" s="1" t="str">
        <f>TEXT(WEEKDAY(DATE(AnnéeCalendrier,8,17),1),"jjj")</f>
        <v>sam</v>
      </c>
      <c r="T5" s="1" t="str">
        <f>TEXT(WEEKDAY(DATE(AnnéeCalendrier,8,18),1),"jjj")</f>
        <v>dim</v>
      </c>
      <c r="U5" s="1" t="str">
        <f>TEXT(WEEKDAY(DATE(AnnéeCalendrier,8,19),1),"jjj")</f>
        <v>lun</v>
      </c>
      <c r="V5" s="1" t="str">
        <f>TEXT(WEEKDAY(DATE(AnnéeCalendrier,8,20),1),"jjj")</f>
        <v>mar</v>
      </c>
      <c r="W5" s="1" t="str">
        <f>TEXT(WEEKDAY(DATE(AnnéeCalendrier,8,21),1),"jjj")</f>
        <v>mer</v>
      </c>
      <c r="X5" s="1" t="str">
        <f>TEXT(WEEKDAY(DATE(AnnéeCalendrier,8,22),1),"jjj")</f>
        <v>jeu</v>
      </c>
      <c r="Y5" s="1" t="str">
        <f>TEXT(WEEKDAY(DATE(AnnéeCalendrier,8,23),1),"jjj")</f>
        <v>ven</v>
      </c>
      <c r="Z5" s="1" t="str">
        <f>TEXT(WEEKDAY(DATE(AnnéeCalendrier,8,24),1),"jjj")</f>
        <v>sam</v>
      </c>
      <c r="AA5" s="1" t="str">
        <f>TEXT(WEEKDAY(DATE(AnnéeCalendrier,8,25),1),"jjj")</f>
        <v>dim</v>
      </c>
      <c r="AB5" s="1" t="str">
        <f>TEXT(WEEKDAY(DATE(AnnéeCalendrier,8,26),1),"jjj")</f>
        <v>lun</v>
      </c>
      <c r="AC5" s="1" t="str">
        <f>TEXT(WEEKDAY(DATE(AnnéeCalendrier,8,27),1),"jjj")</f>
        <v>mar</v>
      </c>
      <c r="AD5" s="1" t="str">
        <f>TEXT(WEEKDAY(DATE(AnnéeCalendrier,8,28),1),"jjj")</f>
        <v>mer</v>
      </c>
      <c r="AE5" s="1" t="str">
        <f>TEXT(WEEKDAY(DATE(AnnéeCalendrier,8,29),1),"jjj")</f>
        <v>jeu</v>
      </c>
      <c r="AF5" s="1" t="str">
        <f>TEXT(WEEKDAY(DATE(AnnéeCalendrier,8,30),1),"jjj")</f>
        <v>ven</v>
      </c>
      <c r="AG5" s="1" t="str">
        <f>TEXT(WEEKDAY(DATE(AnnéeCalendrier,8,31),1),"jjj")</f>
        <v>sam</v>
      </c>
      <c r="AH5" s="10"/>
    </row>
    <row r="6" spans="2:34" ht="15" customHeight="1" x14ac:dyDescent="0.25">
      <c r="B6" s="18" t="s">
        <v>2</v>
      </c>
      <c r="C6" s="2" t="s">
        <v>5</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15" x14ac:dyDescent="0.25">
      <c r="B7" s="19" t="str">
        <f>Paramètre!$A15</f>
        <v>A1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COUNTA(Août[[#This Row],[1]:[31]])</f>
        <v>0</v>
      </c>
    </row>
    <row r="8" spans="2:34" ht="15" x14ac:dyDescent="0.25">
      <c r="B8" s="19" t="str">
        <f>Paramètre!$A16</f>
        <v>A2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COUNTA(Août[[#This Row],[1]:[31]])</f>
        <v>0</v>
      </c>
    </row>
    <row r="9" spans="2:34" ht="15" x14ac:dyDescent="0.25">
      <c r="B9" s="19" t="str">
        <f>Paramètre!$A17</f>
        <v>A3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COUNTA(Août[[#This Row],[1]:[31]])</f>
        <v>0</v>
      </c>
    </row>
    <row r="10" spans="2:34" ht="15" x14ac:dyDescent="0.25">
      <c r="B10" s="19" t="str">
        <f>Paramètre!$A18</f>
        <v>A4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COUNTA(Août[[#This Row],[1]:[31]])</f>
        <v>0</v>
      </c>
    </row>
    <row r="11" spans="2:34" ht="15" x14ac:dyDescent="0.25">
      <c r="B11" s="19" t="str">
        <f>Paramètre!$A19</f>
        <v>A5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COUNTA(Août[[#This Row],[1]:[31]])</f>
        <v>0</v>
      </c>
    </row>
    <row r="12" spans="2:34" ht="15" x14ac:dyDescent="0.25">
      <c r="B12" s="19" t="str">
        <f>Paramètre!$A20</f>
        <v>A6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8">
        <f>COUNTA(Août[[#This Row],[1]:[31]])</f>
        <v>0</v>
      </c>
    </row>
    <row r="13" spans="2:34" ht="15" x14ac:dyDescent="0.25">
      <c r="B13" s="19" t="str">
        <f>Paramètre!$A21</f>
        <v>A7</v>
      </c>
      <c r="C13" s="21"/>
      <c r="D13" s="21"/>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8"/>
      <c r="AG13" s="8"/>
      <c r="AH13" s="8">
        <f>COUNTA(Août[[#This Row],[1]:[31]])</f>
        <v>0</v>
      </c>
    </row>
    <row r="14" spans="2:34" ht="15" x14ac:dyDescent="0.25">
      <c r="B14" s="19" t="str">
        <f>Paramètre!$A22</f>
        <v>A8</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8">
        <f>COUNTA(Août[[#This Row],[1]:[31]])</f>
        <v>0</v>
      </c>
    </row>
    <row r="15" spans="2:34" ht="15" x14ac:dyDescent="0.25">
      <c r="B15" s="19" t="str">
        <f>Paramètre!$A23</f>
        <v>A9</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8">
        <f>COUNTA(Août[[#This Row],[1]:[31]])</f>
        <v>0</v>
      </c>
    </row>
    <row r="16" spans="2:34" ht="15" x14ac:dyDescent="0.25">
      <c r="B16" s="19" t="str">
        <f>Paramètre!$A24</f>
        <v>A10</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8">
        <f>COUNTA(Août[[#This Row],[1]:[31]])</f>
        <v>0</v>
      </c>
    </row>
    <row r="17" spans="2:34" ht="15" x14ac:dyDescent="0.25">
      <c r="B17" s="19" t="str">
        <f>Paramètre!$A25</f>
        <v>A11</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8">
        <f>COUNTA(Août[[#This Row],[1]:[31]])</f>
        <v>0</v>
      </c>
    </row>
    <row r="18" spans="2:34" ht="15" x14ac:dyDescent="0.25">
      <c r="B18" s="19" t="str">
        <f>Paramètre!$A26</f>
        <v>A12</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8">
        <f>COUNTA(Août[[#This Row],[1]:[31]])</f>
        <v>0</v>
      </c>
    </row>
    <row r="19" spans="2:34" ht="15" x14ac:dyDescent="0.25">
      <c r="B19" s="19" t="str">
        <f>Paramètre!$A27</f>
        <v>A13</v>
      </c>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8">
        <f>COUNTA(Août[[#This Row],[1]:[31]])</f>
        <v>0</v>
      </c>
    </row>
    <row r="20" spans="2:34" ht="15" x14ac:dyDescent="0.25">
      <c r="B20" s="19" t="str">
        <f>Paramètre!$A28</f>
        <v>A14</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8">
        <f>COUNTA(Août[[#This Row],[1]:[31]])</f>
        <v>0</v>
      </c>
    </row>
    <row r="21" spans="2:34" ht="15" x14ac:dyDescent="0.25">
      <c r="B21" s="19" t="str">
        <f>Paramètre!$A29</f>
        <v>A15</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8">
        <f>COUNTA(Août[[#This Row],[1]:[31]])</f>
        <v>0</v>
      </c>
    </row>
    <row r="22" spans="2:34" ht="15" x14ac:dyDescent="0.25">
      <c r="B22" s="19" t="str">
        <f>Paramètre!$A30</f>
        <v>A16</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8">
        <f>COUNTA(Août[[#This Row],[1]:[31]])</f>
        <v>0</v>
      </c>
    </row>
    <row r="23" spans="2:34" ht="15" x14ac:dyDescent="0.25">
      <c r="B23" s="19" t="str">
        <f>Paramètre!$A31</f>
        <v>A17</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8">
        <f>COUNTA(Août[[#This Row],[1]:[31]])</f>
        <v>0</v>
      </c>
    </row>
    <row r="24" spans="2:34" ht="15" x14ac:dyDescent="0.25">
      <c r="B24" s="19" t="str">
        <f>Paramètre!$A32</f>
        <v>A18</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8">
        <f>COUNTA(Août[[#This Row],[1]:[31]])</f>
        <v>0</v>
      </c>
    </row>
    <row r="25" spans="2:34" ht="15" x14ac:dyDescent="0.25">
      <c r="B25" s="19" t="str">
        <f>Paramètre!$A33</f>
        <v>A19</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8">
        <f>COUNTA(Août[[#This Row],[1]:[31]])</f>
        <v>0</v>
      </c>
    </row>
    <row r="26" spans="2:34" ht="15" x14ac:dyDescent="0.25">
      <c r="B26" s="19" t="str">
        <f>Paramètre!$A34</f>
        <v>A20</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8">
        <f>COUNTA(Août[[#This Row],[1]:[31]])</f>
        <v>0</v>
      </c>
    </row>
    <row r="27" spans="2:34" ht="15" x14ac:dyDescent="0.25">
      <c r="B27" s="19" t="str">
        <f>Paramètre!$A35</f>
        <v>A21</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8">
        <f>COUNTA(Août[[#This Row],[1]:[31]])</f>
        <v>0</v>
      </c>
    </row>
    <row r="28" spans="2:34" ht="15" x14ac:dyDescent="0.25">
      <c r="B28" s="19" t="str">
        <f>Paramètre!$A36</f>
        <v>A22</v>
      </c>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8">
        <f>COUNTA(Août[[#This Row],[1]:[31]])</f>
        <v>0</v>
      </c>
    </row>
    <row r="29" spans="2:34" ht="15" x14ac:dyDescent="0.25">
      <c r="B29" s="19" t="str">
        <f>Paramètre!$A37</f>
        <v>A23</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8">
        <f>COUNTA(Août[[#This Row],[1]:[31]])</f>
        <v>0</v>
      </c>
    </row>
    <row r="30" spans="2:34" ht="15" x14ac:dyDescent="0.25">
      <c r="B30" s="19" t="str">
        <f>Paramètre!$A38</f>
        <v>A24</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8">
        <f>COUNTA(Août[[#This Row],[1]:[31]])</f>
        <v>0</v>
      </c>
    </row>
    <row r="31" spans="2:34" ht="15" x14ac:dyDescent="0.25">
      <c r="B31" s="19" t="str">
        <f>Paramètre!$A39</f>
        <v>A25</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8">
        <f>COUNTA(Août[[#This Row],[1]:[31]])</f>
        <v>0</v>
      </c>
    </row>
    <row r="32" spans="2:34" ht="15" x14ac:dyDescent="0.25">
      <c r="B32" s="19" t="str">
        <f>Paramètre!$A40</f>
        <v>A26</v>
      </c>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8">
        <f>COUNTA(Août[[#This Row],[1]:[31]])</f>
        <v>0</v>
      </c>
    </row>
    <row r="33" spans="2:34" ht="15" x14ac:dyDescent="0.25">
      <c r="B33" s="19" t="str">
        <f>Paramètre!$A41</f>
        <v>A27</v>
      </c>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8">
        <f>COUNTA(Août[[#This Row],[1]:[31]])</f>
        <v>0</v>
      </c>
    </row>
    <row r="34" spans="2:34" ht="15" x14ac:dyDescent="0.25">
      <c r="B34" s="19" t="str">
        <f>Paramètre!$A42</f>
        <v>A28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8">
        <f>COUNTA(Août[[#This Row],[1]:[31]])</f>
        <v>0</v>
      </c>
    </row>
    <row r="35" spans="2:34" ht="15" x14ac:dyDescent="0.25">
      <c r="B35" s="19" t="str">
        <f>Paramètre!$A43</f>
        <v>A29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8">
        <f>COUNTA(Août[[#This Row],[1]:[31]])</f>
        <v>0</v>
      </c>
    </row>
    <row r="36" spans="2:34" ht="15" x14ac:dyDescent="0.25">
      <c r="B36" s="19" t="str">
        <f>Paramètre!$A44</f>
        <v>A30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8">
        <f>COUNTA(Août[[#This Row],[1]:[31]])</f>
        <v>0</v>
      </c>
    </row>
    <row r="37" spans="2:34" ht="30" customHeight="1" x14ac:dyDescent="0.25">
      <c r="B37" s="17" t="str">
        <f>NomMois&amp;" Total"</f>
        <v>Août Total</v>
      </c>
      <c r="C37" s="11">
        <f>SUBTOTAL(103,Août[1])</f>
        <v>0</v>
      </c>
      <c r="D37" s="11">
        <f>SUBTOTAL(103,Août[2])</f>
        <v>0</v>
      </c>
      <c r="E37" s="11">
        <f>SUBTOTAL(103,Août[3])</f>
        <v>0</v>
      </c>
      <c r="F37" s="11">
        <f>SUBTOTAL(103,Août[4])</f>
        <v>0</v>
      </c>
      <c r="G37" s="11">
        <f>SUBTOTAL(103,Août[5])</f>
        <v>0</v>
      </c>
      <c r="H37" s="11">
        <f>SUBTOTAL(103,Août[6])</f>
        <v>0</v>
      </c>
      <c r="I37" s="11">
        <f>SUBTOTAL(103,Août[7])</f>
        <v>0</v>
      </c>
      <c r="J37" s="11">
        <f>SUBTOTAL(103,Août[8])</f>
        <v>0</v>
      </c>
      <c r="K37" s="11">
        <f>SUBTOTAL(103,Août[9])</f>
        <v>0</v>
      </c>
      <c r="L37" s="11">
        <f>SUBTOTAL(103,Août[10])</f>
        <v>0</v>
      </c>
      <c r="M37" s="11">
        <f>SUBTOTAL(103,Août[11])</f>
        <v>0</v>
      </c>
      <c r="N37" s="11">
        <f>SUBTOTAL(103,Août[12])</f>
        <v>0</v>
      </c>
      <c r="O37" s="11">
        <f>SUBTOTAL(103,Août[13])</f>
        <v>0</v>
      </c>
      <c r="P37" s="11">
        <f>SUBTOTAL(103,Août[14])</f>
        <v>0</v>
      </c>
      <c r="Q37" s="11">
        <f>SUBTOTAL(103,Août[15])</f>
        <v>0</v>
      </c>
      <c r="R37" s="11">
        <f>SUBTOTAL(103,Août[16])</f>
        <v>0</v>
      </c>
      <c r="S37" s="11">
        <f>SUBTOTAL(103,Août[17])</f>
        <v>0</v>
      </c>
      <c r="T37" s="11">
        <f>SUBTOTAL(103,Août[18])</f>
        <v>0</v>
      </c>
      <c r="U37" s="11">
        <f>SUBTOTAL(103,Août[19])</f>
        <v>0</v>
      </c>
      <c r="V37" s="11">
        <f>SUBTOTAL(103,Août[20])</f>
        <v>0</v>
      </c>
      <c r="W37" s="11">
        <f>SUBTOTAL(103,Août[21])</f>
        <v>0</v>
      </c>
      <c r="X37" s="11">
        <f>SUBTOTAL(103,Août[22])</f>
        <v>0</v>
      </c>
      <c r="Y37" s="11">
        <f>SUBTOTAL(103,Août[23])</f>
        <v>0</v>
      </c>
      <c r="Z37" s="11">
        <f>SUBTOTAL(103,Août[24])</f>
        <v>0</v>
      </c>
      <c r="AA37" s="11">
        <f>SUBTOTAL(103,Août[25])</f>
        <v>0</v>
      </c>
      <c r="AB37" s="11">
        <f>SUBTOTAL(103,Août[26])</f>
        <v>0</v>
      </c>
      <c r="AC37" s="11">
        <f>SUBTOTAL(103,Août[27])</f>
        <v>0</v>
      </c>
      <c r="AD37" s="11">
        <f>SUBTOTAL(103,Août[28])</f>
        <v>0</v>
      </c>
      <c r="AE37" s="11">
        <f>SUBTOTAL(103,Août[29])</f>
        <v>0</v>
      </c>
      <c r="AF37" s="11">
        <f>SUBTOTAL(109,Août[30])</f>
        <v>0</v>
      </c>
      <c r="AG37" s="11">
        <f>SUBTOTAL(109,Août[31])</f>
        <v>0</v>
      </c>
      <c r="AH37" s="11">
        <f>SUBTOTAL(109,Août[Total des jours])</f>
        <v>0</v>
      </c>
    </row>
  </sheetData>
  <mergeCells count="7">
    <mergeCell ref="C4:AG4"/>
    <mergeCell ref="D2:E2"/>
    <mergeCell ref="G2:I2"/>
    <mergeCell ref="K2:L2"/>
    <mergeCell ref="N2:Q2"/>
    <mergeCell ref="S2:V2"/>
    <mergeCell ref="X2:AA2"/>
  </mergeCells>
  <conditionalFormatting sqref="AH7:AH36">
    <cfRule type="dataBar" priority="16">
      <dataBar>
        <cfvo type="min"/>
        <cfvo type="formula" val="DATEDIF(DATE(CalendarYear,2,1),DATE(CalendarYear,3,1),&quot;d&quot;)"/>
        <color theme="2" tint="-0.249977111117893"/>
      </dataBar>
      <extLst>
        <ext xmlns:x14="http://schemas.microsoft.com/office/spreadsheetml/2009/9/main" uri="{B025F937-C7B1-47D3-B67F-A62EFF666E3E}">
          <x14:id>{09900229-9536-43AB-AAE0-FC121BDECD61}</x14:id>
        </ext>
      </extLst>
    </cfRule>
  </conditionalFormatting>
  <conditionalFormatting sqref="C7:AG36">
    <cfRule type="expression" priority="2" stopIfTrue="1">
      <formula>C7=""</formula>
    </cfRule>
    <cfRule type="expression" dxfId="379" priority="4" stopIfTrue="1">
      <formula>C7=CléPersonnalisée2</formula>
    </cfRule>
    <cfRule type="expression" dxfId="378" priority="5" stopIfTrue="1">
      <formula>C7=CléPersonnalisée1</formula>
    </cfRule>
    <cfRule type="expression" dxfId="377" priority="6" stopIfTrue="1">
      <formula>C7=CléMaladie</formula>
    </cfRule>
    <cfRule type="expression" dxfId="376" priority="7" stopIfTrue="1">
      <formula>C7=CléPersonnel</formula>
    </cfRule>
    <cfRule type="expression" dxfId="375" priority="8" stopIfTrue="1">
      <formula>C7=CléCongé</formula>
    </cfRule>
  </conditionalFormatting>
  <conditionalFormatting sqref="C7:AG36">
    <cfRule type="expression" dxfId="374" priority="3">
      <formula>C7=CléPersonnalisée3</formula>
    </cfRule>
  </conditionalFormatting>
  <conditionalFormatting sqref="C37:AG37">
    <cfRule type="cellIs" dxfId="373" priority="1" operator="greaterThan">
      <formula>2</formula>
    </cfRule>
  </conditionalFormatting>
  <dataValidations count="1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août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W2"/>
    <dataValidation allowBlank="1" showInputMessage="1" showErrorMessage="1" prompt="Entrez une étiquette pour décrire la clé personnalisée à gauche" sqref="N2 S2 X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Cette ligne définit les clés utilisées dans le tableau : Congé en C2, Personnel en F2 et Congé maladie en J2. Les cellules M2 et R2 sont personnalisables " sqref="B2"/>
    <dataValidation type="list" allowBlank="1" showInputMessage="1" showErrorMessage="1" sqref="B7:B36">
      <formula1>#REF!</formula1>
    </dataValidation>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DATEDIF(DATE(CalendarYear,2,1),DATE(CalendarYear,3,1),"d")</xm:f>
              </x14:cfvo>
              <x14:negativeFillColor rgb="FFFF0000"/>
              <x14:axisColor rgb="FF000000"/>
            </x14:dataBar>
          </x14:cfRule>
          <xm:sqref>AH7:AH36</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2" tint="-0.499984740745262"/>
    <pageSetUpPr fitToPage="1"/>
  </sheetPr>
  <dimension ref="A1:AH37"/>
  <sheetViews>
    <sheetView showGridLines="0" zoomScaleNormal="100" workbookViewId="0">
      <pane xSplit="1" ySplit="6" topLeftCell="B7" activePane="bottomRight" state="frozen"/>
      <selection pane="topRight" activeCell="B1" sqref="B1"/>
      <selection pane="bottomLeft" activeCell="A7" sqref="A7"/>
      <selection pane="bottomRight" activeCell="C7" sqref="C7:AG36"/>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des absences des employés EQ B</v>
      </c>
    </row>
    <row r="2" spans="2:34" ht="15" customHeight="1" x14ac:dyDescent="0.25">
      <c r="B2" s="15" t="s">
        <v>0</v>
      </c>
      <c r="C2" s="3" t="s">
        <v>3</v>
      </c>
      <c r="D2" s="54" t="s">
        <v>6</v>
      </c>
      <c r="E2" s="54"/>
      <c r="F2" s="4" t="s">
        <v>57</v>
      </c>
      <c r="G2" s="53" t="s">
        <v>58</v>
      </c>
      <c r="H2" s="54"/>
      <c r="I2" s="54"/>
      <c r="J2" s="5" t="s">
        <v>10</v>
      </c>
      <c r="K2" s="54" t="s">
        <v>16</v>
      </c>
      <c r="L2" s="54"/>
      <c r="M2" s="6" t="s">
        <v>59</v>
      </c>
      <c r="N2" s="53" t="s">
        <v>60</v>
      </c>
      <c r="O2" s="54"/>
      <c r="P2" s="54"/>
      <c r="Q2" s="54"/>
      <c r="R2" s="7" t="s">
        <v>55</v>
      </c>
      <c r="S2" s="53" t="s">
        <v>56</v>
      </c>
      <c r="T2" s="54"/>
      <c r="U2" s="54"/>
      <c r="V2" s="54"/>
      <c r="W2" s="22" t="s">
        <v>62</v>
      </c>
      <c r="X2" s="53" t="s">
        <v>63</v>
      </c>
      <c r="Y2" s="54"/>
      <c r="Z2" s="54"/>
      <c r="AA2" s="54"/>
    </row>
    <row r="3" spans="2:34" ht="15" customHeight="1" x14ac:dyDescent="0.25">
      <c r="B3" s="12"/>
    </row>
    <row r="4" spans="2:34" ht="30" customHeight="1" x14ac:dyDescent="0.25">
      <c r="B4" s="10" t="s">
        <v>50</v>
      </c>
      <c r="C4" s="52" t="s">
        <v>4</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10">
        <f>AnnéeCalendrier</f>
        <v>2019</v>
      </c>
    </row>
    <row r="5" spans="2:34" ht="15" customHeight="1" x14ac:dyDescent="0.25">
      <c r="B5" s="10"/>
      <c r="C5" s="1" t="str">
        <f>TEXT(WEEKDAY(DATE(AnnéeCalendrier,9,1),1),"jjj")</f>
        <v>dim</v>
      </c>
      <c r="D5" s="1" t="str">
        <f>TEXT(WEEKDAY(DATE(AnnéeCalendrier,9,2),1),"jjj")</f>
        <v>lun</v>
      </c>
      <c r="E5" s="1" t="str">
        <f>TEXT(WEEKDAY(DATE(AnnéeCalendrier,9,3),1),"jjj")</f>
        <v>mar</v>
      </c>
      <c r="F5" s="1" t="str">
        <f>TEXT(WEEKDAY(DATE(AnnéeCalendrier,9,4),1),"jjj")</f>
        <v>mer</v>
      </c>
      <c r="G5" s="1" t="str">
        <f>TEXT(WEEKDAY(DATE(AnnéeCalendrier,9,5),1),"jjj")</f>
        <v>jeu</v>
      </c>
      <c r="H5" s="1" t="str">
        <f>TEXT(WEEKDAY(DATE(AnnéeCalendrier,9,6),1),"jjj")</f>
        <v>ven</v>
      </c>
      <c r="I5" s="1" t="str">
        <f>TEXT(WEEKDAY(DATE(AnnéeCalendrier,9,7),1),"jjj")</f>
        <v>sam</v>
      </c>
      <c r="J5" s="1" t="str">
        <f>TEXT(WEEKDAY(DATE(AnnéeCalendrier,9,8),1),"jjj")</f>
        <v>dim</v>
      </c>
      <c r="K5" s="1" t="str">
        <f>TEXT(WEEKDAY(DATE(AnnéeCalendrier,9,9),1),"jjj")</f>
        <v>lun</v>
      </c>
      <c r="L5" s="1" t="str">
        <f>TEXT(WEEKDAY(DATE(AnnéeCalendrier,9,10),1),"jjj")</f>
        <v>mar</v>
      </c>
      <c r="M5" s="1" t="str">
        <f>TEXT(WEEKDAY(DATE(AnnéeCalendrier,9,11),1),"jjj")</f>
        <v>mer</v>
      </c>
      <c r="N5" s="1" t="str">
        <f>TEXT(WEEKDAY(DATE(AnnéeCalendrier,9,12),1),"jjj")</f>
        <v>jeu</v>
      </c>
      <c r="O5" s="1" t="str">
        <f>TEXT(WEEKDAY(DATE(AnnéeCalendrier,9,13),1),"jjj")</f>
        <v>ven</v>
      </c>
      <c r="P5" s="1" t="str">
        <f>TEXT(WEEKDAY(DATE(AnnéeCalendrier,9,14),1),"jjj")</f>
        <v>sam</v>
      </c>
      <c r="Q5" s="1" t="str">
        <f>TEXT(WEEKDAY(DATE(AnnéeCalendrier,9,15),1),"jjj")</f>
        <v>dim</v>
      </c>
      <c r="R5" s="1" t="str">
        <f>TEXT(WEEKDAY(DATE(AnnéeCalendrier,9,16),1),"jjj")</f>
        <v>lun</v>
      </c>
      <c r="S5" s="1" t="str">
        <f>TEXT(WEEKDAY(DATE(AnnéeCalendrier,9,17),1),"jjj")</f>
        <v>mar</v>
      </c>
      <c r="T5" s="1" t="str">
        <f>TEXT(WEEKDAY(DATE(AnnéeCalendrier,9,18),1),"jjj")</f>
        <v>mer</v>
      </c>
      <c r="U5" s="1" t="str">
        <f>TEXT(WEEKDAY(DATE(AnnéeCalendrier,9,19),1),"jjj")</f>
        <v>jeu</v>
      </c>
      <c r="V5" s="1" t="str">
        <f>TEXT(WEEKDAY(DATE(AnnéeCalendrier,9,20),1),"jjj")</f>
        <v>ven</v>
      </c>
      <c r="W5" s="1" t="str">
        <f>TEXT(WEEKDAY(DATE(AnnéeCalendrier,9,21),1),"jjj")</f>
        <v>sam</v>
      </c>
      <c r="X5" s="1" t="str">
        <f>TEXT(WEEKDAY(DATE(AnnéeCalendrier,9,22),1),"jjj")</f>
        <v>dim</v>
      </c>
      <c r="Y5" s="1" t="str">
        <f>TEXT(WEEKDAY(DATE(AnnéeCalendrier,9,23),1),"jjj")</f>
        <v>lun</v>
      </c>
      <c r="Z5" s="1" t="str">
        <f>TEXT(WEEKDAY(DATE(AnnéeCalendrier,9,24),1),"jjj")</f>
        <v>mar</v>
      </c>
      <c r="AA5" s="1" t="str">
        <f>TEXT(WEEKDAY(DATE(AnnéeCalendrier,9,25),1),"jjj")</f>
        <v>mer</v>
      </c>
      <c r="AB5" s="1" t="str">
        <f>TEXT(WEEKDAY(DATE(AnnéeCalendrier,9,26),1),"jjj")</f>
        <v>jeu</v>
      </c>
      <c r="AC5" s="1" t="str">
        <f>TEXT(WEEKDAY(DATE(AnnéeCalendrier,9,27),1),"jjj")</f>
        <v>ven</v>
      </c>
      <c r="AD5" s="1" t="str">
        <f>TEXT(WEEKDAY(DATE(AnnéeCalendrier,9,28),1),"jjj")</f>
        <v>sam</v>
      </c>
      <c r="AE5" s="1" t="str">
        <f>TEXT(WEEKDAY(DATE(AnnéeCalendrier,9,29),1),"jjj")</f>
        <v>dim</v>
      </c>
      <c r="AF5" s="1" t="str">
        <f>TEXT(WEEKDAY(DATE(AnnéeCalendrier,9,30),1),"jjj")</f>
        <v>lun</v>
      </c>
      <c r="AG5" s="1"/>
      <c r="AH5" s="10"/>
    </row>
    <row r="6" spans="2:34" ht="15" customHeight="1" x14ac:dyDescent="0.25">
      <c r="B6" s="18" t="s">
        <v>2</v>
      </c>
      <c r="C6" s="2" t="s">
        <v>5</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15" x14ac:dyDescent="0.25">
      <c r="B7" s="19" t="str">
        <f>Paramètre!$A15</f>
        <v>A1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COUNTA(Septembre[[#This Row],[1]:[31]])</f>
        <v>0</v>
      </c>
    </row>
    <row r="8" spans="2:34" ht="15" x14ac:dyDescent="0.25">
      <c r="B8" s="19" t="str">
        <f>Paramètre!$A16</f>
        <v>A2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COUNTA(Septembre[[#This Row],[1]:[31]])</f>
        <v>0</v>
      </c>
    </row>
    <row r="9" spans="2:34" ht="15" x14ac:dyDescent="0.25">
      <c r="B9" s="19" t="str">
        <f>Paramètre!$A17</f>
        <v>A3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COUNTA(Septembre[[#This Row],[1]:[31]])</f>
        <v>0</v>
      </c>
    </row>
    <row r="10" spans="2:34" ht="15" x14ac:dyDescent="0.25">
      <c r="B10" s="19" t="str">
        <f>Paramètre!$A18</f>
        <v>A4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COUNTA(Septembre[[#This Row],[1]:[31]])</f>
        <v>0</v>
      </c>
    </row>
    <row r="11" spans="2:34" ht="15" x14ac:dyDescent="0.25">
      <c r="B11" s="19" t="str">
        <f>Paramètre!$A19</f>
        <v>A5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COUNTA(Septembre[[#This Row],[1]:[31]])</f>
        <v>0</v>
      </c>
    </row>
    <row r="12" spans="2:34" ht="15" x14ac:dyDescent="0.25">
      <c r="B12" s="19" t="str">
        <f>Paramètre!$A20</f>
        <v>A6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8">
        <f>COUNTA(Septembre[[#This Row],[1]:[31]])</f>
        <v>0</v>
      </c>
    </row>
    <row r="13" spans="2:34" ht="15" x14ac:dyDescent="0.25">
      <c r="B13" s="19" t="str">
        <f>Paramètre!$A21</f>
        <v>A7</v>
      </c>
      <c r="C13" s="21"/>
      <c r="D13" s="21"/>
      <c r="E13" s="8"/>
      <c r="F13" s="8"/>
      <c r="G13" s="8"/>
      <c r="H13" s="8"/>
      <c r="I13" s="8"/>
      <c r="J13" s="8"/>
      <c r="K13" s="8"/>
      <c r="L13" s="8"/>
      <c r="M13" s="21"/>
      <c r="N13" s="8"/>
      <c r="O13" s="8"/>
      <c r="P13" s="8"/>
      <c r="Q13" s="8"/>
      <c r="R13" s="8"/>
      <c r="S13" s="8"/>
      <c r="T13" s="8"/>
      <c r="U13" s="8"/>
      <c r="V13" s="8"/>
      <c r="W13" s="8"/>
      <c r="X13" s="8"/>
      <c r="Y13" s="8"/>
      <c r="Z13" s="8"/>
      <c r="AA13" s="8"/>
      <c r="AB13" s="8"/>
      <c r="AC13" s="8"/>
      <c r="AD13" s="8"/>
      <c r="AE13" s="8"/>
      <c r="AF13" s="8"/>
      <c r="AG13" s="8"/>
      <c r="AH13" s="8">
        <f>COUNTA(Septembre[[#This Row],[1]:[31]])</f>
        <v>0</v>
      </c>
    </row>
    <row r="14" spans="2:34" ht="15" x14ac:dyDescent="0.25">
      <c r="B14" s="19" t="str">
        <f>Paramètre!$A22</f>
        <v>A8</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8">
        <f>COUNTA(Septembre[[#This Row],[1]:[31]])</f>
        <v>0</v>
      </c>
    </row>
    <row r="15" spans="2:34" ht="15" x14ac:dyDescent="0.25">
      <c r="B15" s="19" t="str">
        <f>Paramètre!$A23</f>
        <v>A9</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8">
        <f>COUNTA(Septembre[[#This Row],[1]:[31]])</f>
        <v>0</v>
      </c>
    </row>
    <row r="16" spans="2:34" ht="15" x14ac:dyDescent="0.25">
      <c r="B16" s="19" t="str">
        <f>Paramètre!$A24</f>
        <v>A10</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8">
        <f>COUNTA(Septembre[[#This Row],[1]:[31]])</f>
        <v>0</v>
      </c>
    </row>
    <row r="17" spans="2:34" ht="15" x14ac:dyDescent="0.25">
      <c r="B17" s="19" t="str">
        <f>Paramètre!$A25</f>
        <v>A11</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8">
        <f>COUNTA(Septembre[[#This Row],[1]:[31]])</f>
        <v>0</v>
      </c>
    </row>
    <row r="18" spans="2:34" ht="15" x14ac:dyDescent="0.25">
      <c r="B18" s="19" t="str">
        <f>Paramètre!$A26</f>
        <v>A12</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8">
        <f>COUNTA(Septembre[[#This Row],[1]:[31]])</f>
        <v>0</v>
      </c>
    </row>
    <row r="19" spans="2:34" ht="15" x14ac:dyDescent="0.25">
      <c r="B19" s="19" t="str">
        <f>Paramètre!$A27</f>
        <v>A13</v>
      </c>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8">
        <f>COUNTA(Septembre[[#This Row],[1]:[31]])</f>
        <v>0</v>
      </c>
    </row>
    <row r="20" spans="2:34" ht="15" x14ac:dyDescent="0.25">
      <c r="B20" s="19" t="str">
        <f>Paramètre!$A28</f>
        <v>A14</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8">
        <f>COUNTA(Septembre[[#This Row],[1]:[31]])</f>
        <v>0</v>
      </c>
    </row>
    <row r="21" spans="2:34" ht="15" x14ac:dyDescent="0.25">
      <c r="B21" s="19" t="str">
        <f>Paramètre!$A29</f>
        <v>A15</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8">
        <f>COUNTA(Septembre[[#This Row],[1]:[31]])</f>
        <v>0</v>
      </c>
    </row>
    <row r="22" spans="2:34" ht="15" x14ac:dyDescent="0.25">
      <c r="B22" s="19" t="str">
        <f>Paramètre!$A30</f>
        <v>A16</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8">
        <f>COUNTA(Septembre[[#This Row],[1]:[31]])</f>
        <v>0</v>
      </c>
    </row>
    <row r="23" spans="2:34" ht="15" x14ac:dyDescent="0.25">
      <c r="B23" s="19" t="str">
        <f>Paramètre!$A31</f>
        <v>A17</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8">
        <f>COUNTA(Septembre[[#This Row],[1]:[31]])</f>
        <v>0</v>
      </c>
    </row>
    <row r="24" spans="2:34" ht="15" x14ac:dyDescent="0.25">
      <c r="B24" s="19" t="str">
        <f>Paramètre!$A32</f>
        <v>A18</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8">
        <f>COUNTA(Septembre[[#This Row],[1]:[31]])</f>
        <v>0</v>
      </c>
    </row>
    <row r="25" spans="2:34" ht="15" x14ac:dyDescent="0.25">
      <c r="B25" s="19" t="str">
        <f>Paramètre!$A33</f>
        <v>A19</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8">
        <f>COUNTA(Septembre[[#This Row],[1]:[31]])</f>
        <v>0</v>
      </c>
    </row>
    <row r="26" spans="2:34" ht="15" x14ac:dyDescent="0.25">
      <c r="B26" s="19" t="str">
        <f>Paramètre!$A34</f>
        <v>A20</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8">
        <f>COUNTA(Septembre[[#This Row],[1]:[31]])</f>
        <v>0</v>
      </c>
    </row>
    <row r="27" spans="2:34" ht="15" x14ac:dyDescent="0.25">
      <c r="B27" s="19" t="str">
        <f>Paramètre!$A35</f>
        <v>A21</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8">
        <f>COUNTA(Septembre[[#This Row],[1]:[31]])</f>
        <v>0</v>
      </c>
    </row>
    <row r="28" spans="2:34" ht="15" x14ac:dyDescent="0.25">
      <c r="B28" s="19" t="str">
        <f>Paramètre!$A36</f>
        <v>A22</v>
      </c>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8">
        <f>COUNTA(Septembre[[#This Row],[1]:[31]])</f>
        <v>0</v>
      </c>
    </row>
    <row r="29" spans="2:34" ht="15" x14ac:dyDescent="0.25">
      <c r="B29" s="19" t="str">
        <f>Paramètre!$A37</f>
        <v>A23</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8">
        <f>COUNTA(Septembre[[#This Row],[1]:[31]])</f>
        <v>0</v>
      </c>
    </row>
    <row r="30" spans="2:34" ht="15" x14ac:dyDescent="0.25">
      <c r="B30" s="19" t="str">
        <f>Paramètre!$A38</f>
        <v>A24</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8">
        <f>COUNTA(Septembre[[#This Row],[1]:[31]])</f>
        <v>0</v>
      </c>
    </row>
    <row r="31" spans="2:34" ht="15" x14ac:dyDescent="0.25">
      <c r="B31" s="19" t="str">
        <f>Paramètre!$A39</f>
        <v>A25</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8">
        <f>COUNTA(Septembre[[#This Row],[1]:[31]])</f>
        <v>0</v>
      </c>
    </row>
    <row r="32" spans="2:34" ht="15" x14ac:dyDescent="0.25">
      <c r="B32" s="19" t="str">
        <f>Paramètre!$A40</f>
        <v>A26</v>
      </c>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8">
        <f>COUNTA(Septembre[[#This Row],[1]:[31]])</f>
        <v>0</v>
      </c>
    </row>
    <row r="33" spans="2:34" ht="15" x14ac:dyDescent="0.25">
      <c r="B33" s="19" t="str">
        <f>Paramètre!$A41</f>
        <v>A27</v>
      </c>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8">
        <f>COUNTA(Septembre[[#This Row],[1]:[31]])</f>
        <v>0</v>
      </c>
    </row>
    <row r="34" spans="2:34" ht="15" x14ac:dyDescent="0.25">
      <c r="B34" s="19" t="str">
        <f>Paramètre!$A42</f>
        <v>A28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8">
        <f>COUNTA(Septembre[[#This Row],[1]:[31]])</f>
        <v>0</v>
      </c>
    </row>
    <row r="35" spans="2:34" ht="15" x14ac:dyDescent="0.25">
      <c r="B35" s="19" t="str">
        <f>Paramètre!$A43</f>
        <v>A29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8">
        <f>COUNTA(Septembre[[#This Row],[1]:[31]])</f>
        <v>0</v>
      </c>
    </row>
    <row r="36" spans="2:34" ht="15" x14ac:dyDescent="0.25">
      <c r="B36" s="19" t="str">
        <f>Paramètre!$A44</f>
        <v>A30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8">
        <f>COUNTA(Septembre[[#This Row],[1]:[31]])</f>
        <v>0</v>
      </c>
    </row>
    <row r="37" spans="2:34" ht="30" customHeight="1" x14ac:dyDescent="0.25">
      <c r="B37" s="17" t="str">
        <f>NomMois&amp;" Total"</f>
        <v>Septembre Total</v>
      </c>
      <c r="C37" s="11">
        <f>SUBTOTAL(103,Septembre[1])</f>
        <v>0</v>
      </c>
      <c r="D37" s="11">
        <f>SUBTOTAL(103,Septembre[2])</f>
        <v>0</v>
      </c>
      <c r="E37" s="11">
        <f>SUBTOTAL(103,Septembre[3])</f>
        <v>0</v>
      </c>
      <c r="F37" s="11">
        <f>SUBTOTAL(103,Septembre[4])</f>
        <v>0</v>
      </c>
      <c r="G37" s="11">
        <f>SUBTOTAL(103,Septembre[5])</f>
        <v>0</v>
      </c>
      <c r="H37" s="11">
        <f>SUBTOTAL(103,Septembre[6])</f>
        <v>0</v>
      </c>
      <c r="I37" s="11">
        <f>SUBTOTAL(103,Septembre[7])</f>
        <v>0</v>
      </c>
      <c r="J37" s="11">
        <f>SUBTOTAL(103,Septembre[8])</f>
        <v>0</v>
      </c>
      <c r="K37" s="11">
        <f>SUBTOTAL(103,Septembre[9])</f>
        <v>0</v>
      </c>
      <c r="L37" s="11">
        <f>SUBTOTAL(103,Septembre[10])</f>
        <v>0</v>
      </c>
      <c r="M37" s="11">
        <f>SUBTOTAL(103,Septembre[11])</f>
        <v>0</v>
      </c>
      <c r="N37" s="11">
        <f>SUBTOTAL(103,Septembre[12])</f>
        <v>0</v>
      </c>
      <c r="O37" s="11">
        <f>SUBTOTAL(103,Septembre[13])</f>
        <v>0</v>
      </c>
      <c r="P37" s="11">
        <f>SUBTOTAL(103,Septembre[14])</f>
        <v>0</v>
      </c>
      <c r="Q37" s="11">
        <f>SUBTOTAL(103,Septembre[15])</f>
        <v>0</v>
      </c>
      <c r="R37" s="11">
        <f>SUBTOTAL(103,Septembre[16])</f>
        <v>0</v>
      </c>
      <c r="S37" s="11">
        <f>SUBTOTAL(103,Septembre[17])</f>
        <v>0</v>
      </c>
      <c r="T37" s="11">
        <f>SUBTOTAL(103,Septembre[18])</f>
        <v>0</v>
      </c>
      <c r="U37" s="11">
        <f>SUBTOTAL(103,Septembre[19])</f>
        <v>0</v>
      </c>
      <c r="V37" s="11">
        <f>SUBTOTAL(103,Septembre[20])</f>
        <v>0</v>
      </c>
      <c r="W37" s="11">
        <f>SUBTOTAL(103,Septembre[21])</f>
        <v>0</v>
      </c>
      <c r="X37" s="11">
        <f>SUBTOTAL(103,Septembre[22])</f>
        <v>0</v>
      </c>
      <c r="Y37" s="11">
        <f>SUBTOTAL(103,Septembre[23])</f>
        <v>0</v>
      </c>
      <c r="Z37" s="11">
        <f>SUBTOTAL(103,Septembre[24])</f>
        <v>0</v>
      </c>
      <c r="AA37" s="11">
        <f>SUBTOTAL(103,Septembre[25])</f>
        <v>0</v>
      </c>
      <c r="AB37" s="11">
        <f>SUBTOTAL(103,Septembre[26])</f>
        <v>0</v>
      </c>
      <c r="AC37" s="11">
        <f>SUBTOTAL(103,Septembre[27])</f>
        <v>0</v>
      </c>
      <c r="AD37" s="11">
        <f>SUBTOTAL(103,Septembre[28])</f>
        <v>0</v>
      </c>
      <c r="AE37" s="11">
        <f>SUBTOTAL(103,Septembre[29])</f>
        <v>0</v>
      </c>
      <c r="AF37" s="11">
        <f>SUBTOTAL(109,Septembre[30])</f>
        <v>0</v>
      </c>
      <c r="AG37" s="11">
        <f>SUBTOTAL(109,Septembre[31])</f>
        <v>0</v>
      </c>
      <c r="AH37" s="11">
        <f>SUBTOTAL(109,Septembre[Total des jours])</f>
        <v>0</v>
      </c>
    </row>
  </sheetData>
  <mergeCells count="7">
    <mergeCell ref="C4:AG4"/>
    <mergeCell ref="D2:E2"/>
    <mergeCell ref="G2:I2"/>
    <mergeCell ref="K2:L2"/>
    <mergeCell ref="N2:Q2"/>
    <mergeCell ref="S2:V2"/>
    <mergeCell ref="X2:AA2"/>
  </mergeCells>
  <conditionalFormatting sqref="AH7:AH36">
    <cfRule type="dataBar" priority="16">
      <dataBar>
        <cfvo type="min"/>
        <cfvo type="formula" val="DATEDIF(DATE(CalendarYear,2,1),DATE(CalendarYear,3,1),&quot;d&quot;)"/>
        <color theme="2" tint="-0.249977111117893"/>
      </dataBar>
      <extLst>
        <ext xmlns:x14="http://schemas.microsoft.com/office/spreadsheetml/2009/9/main" uri="{B025F937-C7B1-47D3-B67F-A62EFF666E3E}">
          <x14:id>{1A021984-06A1-41D9-90D2-8C16E885020B}</x14:id>
        </ext>
      </extLst>
    </cfRule>
  </conditionalFormatting>
  <conditionalFormatting sqref="C7:AG36">
    <cfRule type="expression" priority="2" stopIfTrue="1">
      <formula>C7=""</formula>
    </cfRule>
    <cfRule type="expression" dxfId="303" priority="4" stopIfTrue="1">
      <formula>C7=CléPersonnalisée2</formula>
    </cfRule>
    <cfRule type="expression" dxfId="302" priority="5" stopIfTrue="1">
      <formula>C7=CléPersonnalisée1</formula>
    </cfRule>
    <cfRule type="expression" dxfId="301" priority="6" stopIfTrue="1">
      <formula>C7=CléMaladie</formula>
    </cfRule>
    <cfRule type="expression" dxfId="300" priority="7" stopIfTrue="1">
      <formula>C7=CléPersonnel</formula>
    </cfRule>
    <cfRule type="expression" dxfId="299" priority="8" stopIfTrue="1">
      <formula>C7=CléCongé</formula>
    </cfRule>
  </conditionalFormatting>
  <conditionalFormatting sqref="C7:AG36">
    <cfRule type="expression" dxfId="298" priority="3">
      <formula>C7=CléPersonnalisée3</formula>
    </cfRule>
  </conditionalFormatting>
  <conditionalFormatting sqref="C37:AG37">
    <cfRule type="cellIs" dxfId="297" priority="1" operator="greaterThan">
      <formula>2</formula>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Entrez une étiquette pour décrire la clé personnalisée à gauche" sqref="N2 S2 X2"/>
    <dataValidation allowBlank="1" showInputMessage="1" showErrorMessage="1" prompt="Entrez une lettre et personnalisez l’étiquette à droite pour ajouter un élément de clé" sqref="M2 R2 W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septembre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type="list" allowBlank="1" showInputMessage="1" showErrorMessage="1" sqref="B7:B36">
      <formula1>#REF!</formula1>
    </dataValidation>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DATEDIF(DATE(CalendarYear,2,1),DATE(CalendarYear,3,1),"d")</xm:f>
              </x14:cfvo>
              <x14:negativeFillColor rgb="FFFF0000"/>
              <x14:axisColor rgb="FF000000"/>
            </x14:dataBar>
          </x14:cfRule>
          <xm:sqref>AH7:AH36</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2" tint="-0.249977111117893"/>
    <pageSetUpPr fitToPage="1"/>
  </sheetPr>
  <dimension ref="A1:AH37"/>
  <sheetViews>
    <sheetView showGridLines="0" zoomScaleNormal="100" workbookViewId="0">
      <pane xSplit="1" ySplit="6" topLeftCell="B7" activePane="bottomRight" state="frozen"/>
      <selection pane="topRight" activeCell="B1" sqref="B1"/>
      <selection pane="bottomLeft" activeCell="A7" sqref="A7"/>
      <selection pane="bottomRight" activeCell="C7" sqref="C7:AG36"/>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des absences des employés EQ B</v>
      </c>
    </row>
    <row r="2" spans="2:34" ht="15" customHeight="1" x14ac:dyDescent="0.25">
      <c r="B2" s="15" t="s">
        <v>0</v>
      </c>
      <c r="C2" s="3" t="s">
        <v>3</v>
      </c>
      <c r="D2" s="54" t="s">
        <v>6</v>
      </c>
      <c r="E2" s="54"/>
      <c r="F2" s="4" t="s">
        <v>57</v>
      </c>
      <c r="G2" s="53" t="s">
        <v>58</v>
      </c>
      <c r="H2" s="54"/>
      <c r="I2" s="54"/>
      <c r="J2" s="5" t="s">
        <v>10</v>
      </c>
      <c r="K2" s="54" t="s">
        <v>16</v>
      </c>
      <c r="L2" s="54"/>
      <c r="M2" s="6" t="s">
        <v>59</v>
      </c>
      <c r="N2" s="53" t="s">
        <v>60</v>
      </c>
      <c r="O2" s="54"/>
      <c r="P2" s="54"/>
      <c r="Q2" s="54"/>
      <c r="R2" s="7" t="s">
        <v>55</v>
      </c>
      <c r="S2" s="53" t="s">
        <v>56</v>
      </c>
      <c r="T2" s="54"/>
      <c r="U2" s="54"/>
      <c r="V2" s="54"/>
      <c r="W2" s="22" t="s">
        <v>62</v>
      </c>
      <c r="X2" s="53" t="s">
        <v>63</v>
      </c>
      <c r="Y2" s="54"/>
      <c r="Z2" s="54"/>
      <c r="AA2" s="54"/>
    </row>
    <row r="3" spans="2:34" ht="15" customHeight="1" x14ac:dyDescent="0.25">
      <c r="B3" s="12"/>
    </row>
    <row r="4" spans="2:34" ht="30" customHeight="1" x14ac:dyDescent="0.25">
      <c r="B4" s="10" t="s">
        <v>51</v>
      </c>
      <c r="C4" s="52" t="s">
        <v>4</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10">
        <f>AnnéeCalendrier</f>
        <v>2019</v>
      </c>
    </row>
    <row r="5" spans="2:34" ht="15" customHeight="1" x14ac:dyDescent="0.25">
      <c r="B5" s="10"/>
      <c r="C5" s="1" t="str">
        <f>TEXT(WEEKDAY(DATE(AnnéeCalendrier,10,1),1),"jjj")</f>
        <v>mar</v>
      </c>
      <c r="D5" s="1" t="str">
        <f>TEXT(WEEKDAY(DATE(AnnéeCalendrier,10,2),1),"jjj")</f>
        <v>mer</v>
      </c>
      <c r="E5" s="1" t="str">
        <f>TEXT(WEEKDAY(DATE(AnnéeCalendrier,10,3),1),"jjj")</f>
        <v>jeu</v>
      </c>
      <c r="F5" s="1" t="str">
        <f>TEXT(WEEKDAY(DATE(AnnéeCalendrier,10,4),1),"jjj")</f>
        <v>ven</v>
      </c>
      <c r="G5" s="1" t="str">
        <f>TEXT(WEEKDAY(DATE(AnnéeCalendrier,10,5),1),"jjj")</f>
        <v>sam</v>
      </c>
      <c r="H5" s="1" t="str">
        <f>TEXT(WEEKDAY(DATE(AnnéeCalendrier,10,6),1),"jjj")</f>
        <v>dim</v>
      </c>
      <c r="I5" s="1" t="str">
        <f>TEXT(WEEKDAY(DATE(AnnéeCalendrier,10,7),1),"jjj")</f>
        <v>lun</v>
      </c>
      <c r="J5" s="1" t="str">
        <f>TEXT(WEEKDAY(DATE(AnnéeCalendrier,10,8),1),"jjj")</f>
        <v>mar</v>
      </c>
      <c r="K5" s="1" t="str">
        <f>TEXT(WEEKDAY(DATE(AnnéeCalendrier,10,9),1),"jjj")</f>
        <v>mer</v>
      </c>
      <c r="L5" s="1" t="str">
        <f>TEXT(WEEKDAY(DATE(AnnéeCalendrier,10,10),1),"jjj")</f>
        <v>jeu</v>
      </c>
      <c r="M5" s="1" t="str">
        <f>TEXT(WEEKDAY(DATE(AnnéeCalendrier,10,11),1),"jjj")</f>
        <v>ven</v>
      </c>
      <c r="N5" s="1" t="str">
        <f>TEXT(WEEKDAY(DATE(AnnéeCalendrier,10,12),1),"jjj")</f>
        <v>sam</v>
      </c>
      <c r="O5" s="1" t="str">
        <f>TEXT(WEEKDAY(DATE(AnnéeCalendrier,10,13),1),"jjj")</f>
        <v>dim</v>
      </c>
      <c r="P5" s="1" t="str">
        <f>TEXT(WEEKDAY(DATE(AnnéeCalendrier,10,14),1),"jjj")</f>
        <v>lun</v>
      </c>
      <c r="Q5" s="1" t="str">
        <f>TEXT(WEEKDAY(DATE(AnnéeCalendrier,10,15),1),"jjj")</f>
        <v>mar</v>
      </c>
      <c r="R5" s="1" t="str">
        <f>TEXT(WEEKDAY(DATE(AnnéeCalendrier,10,16),1),"jjj")</f>
        <v>mer</v>
      </c>
      <c r="S5" s="1" t="str">
        <f>TEXT(WEEKDAY(DATE(AnnéeCalendrier,10,17),1),"jjj")</f>
        <v>jeu</v>
      </c>
      <c r="T5" s="1" t="str">
        <f>TEXT(WEEKDAY(DATE(AnnéeCalendrier,10,18),1),"jjj")</f>
        <v>ven</v>
      </c>
      <c r="U5" s="1" t="str">
        <f>TEXT(WEEKDAY(DATE(AnnéeCalendrier,10,19),1),"jjj")</f>
        <v>sam</v>
      </c>
      <c r="V5" s="1" t="str">
        <f>TEXT(WEEKDAY(DATE(AnnéeCalendrier,10,20),1),"jjj")</f>
        <v>dim</v>
      </c>
      <c r="W5" s="1" t="str">
        <f>TEXT(WEEKDAY(DATE(AnnéeCalendrier,10,21),1),"jjj")</f>
        <v>lun</v>
      </c>
      <c r="X5" s="1" t="str">
        <f>TEXT(WEEKDAY(DATE(AnnéeCalendrier,10,22),1),"jjj")</f>
        <v>mar</v>
      </c>
      <c r="Y5" s="1" t="str">
        <f>TEXT(WEEKDAY(DATE(AnnéeCalendrier,10,23),1),"jjj")</f>
        <v>mer</v>
      </c>
      <c r="Z5" s="1" t="str">
        <f>TEXT(WEEKDAY(DATE(AnnéeCalendrier,10,24),1),"jjj")</f>
        <v>jeu</v>
      </c>
      <c r="AA5" s="1" t="str">
        <f>TEXT(WEEKDAY(DATE(AnnéeCalendrier,10,25),1),"jjj")</f>
        <v>ven</v>
      </c>
      <c r="AB5" s="1" t="str">
        <f>TEXT(WEEKDAY(DATE(AnnéeCalendrier,10,26),1),"jjj")</f>
        <v>sam</v>
      </c>
      <c r="AC5" s="1" t="str">
        <f>TEXT(WEEKDAY(DATE(AnnéeCalendrier,10,27),1),"jjj")</f>
        <v>dim</v>
      </c>
      <c r="AD5" s="1" t="str">
        <f>TEXT(WEEKDAY(DATE(AnnéeCalendrier,10,28),1),"jjj")</f>
        <v>lun</v>
      </c>
      <c r="AE5" s="1" t="str">
        <f>TEXT(WEEKDAY(DATE(AnnéeCalendrier,10,29),1),"jjj")</f>
        <v>mar</v>
      </c>
      <c r="AF5" s="1" t="str">
        <f>TEXT(WEEKDAY(DATE(AnnéeCalendrier,10,30),1),"jjj")</f>
        <v>mer</v>
      </c>
      <c r="AG5" s="1" t="str">
        <f>TEXT(WEEKDAY(DATE(AnnéeCalendrier,10,31),1),"jjj")</f>
        <v>jeu</v>
      </c>
      <c r="AH5" s="10"/>
    </row>
    <row r="6" spans="2:34" ht="15" customHeight="1" x14ac:dyDescent="0.25">
      <c r="B6" s="18" t="s">
        <v>2</v>
      </c>
      <c r="C6" s="2" t="s">
        <v>5</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15" x14ac:dyDescent="0.25">
      <c r="B7" s="19" t="str">
        <f>Paramètre!$A15</f>
        <v>A1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COUNTA(Octobre[[#This Row],[1]:[31]])</f>
        <v>0</v>
      </c>
    </row>
    <row r="8" spans="2:34" ht="15" x14ac:dyDescent="0.25">
      <c r="B8" s="19" t="str">
        <f>Paramètre!$A16</f>
        <v>A2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COUNTA(Octobre[[#This Row],[1]:[31]])</f>
        <v>0</v>
      </c>
    </row>
    <row r="9" spans="2:34" ht="15" x14ac:dyDescent="0.25">
      <c r="B9" s="19" t="str">
        <f>Paramètre!$A17</f>
        <v>A3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COUNTA(Octobre[[#This Row],[1]:[31]])</f>
        <v>0</v>
      </c>
    </row>
    <row r="10" spans="2:34" ht="15" x14ac:dyDescent="0.25">
      <c r="B10" s="19" t="str">
        <f>Paramètre!$A18</f>
        <v>A4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COUNTA(Octobre[[#This Row],[1]:[31]])</f>
        <v>0</v>
      </c>
    </row>
    <row r="11" spans="2:34" ht="15" x14ac:dyDescent="0.25">
      <c r="B11" s="19" t="str">
        <f>Paramètre!$A19</f>
        <v>A5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COUNTA(Octobre[[#This Row],[1]:[31]])</f>
        <v>0</v>
      </c>
    </row>
    <row r="12" spans="2:34" ht="15" x14ac:dyDescent="0.25">
      <c r="B12" s="19" t="str">
        <f>Paramètre!$A20</f>
        <v>A6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8">
        <f>COUNTA(Octobre[[#This Row],[1]:[31]])</f>
        <v>0</v>
      </c>
    </row>
    <row r="13" spans="2:34" ht="15" x14ac:dyDescent="0.25">
      <c r="B13" s="19" t="str">
        <f>Paramètre!$A21</f>
        <v>A7</v>
      </c>
      <c r="C13" s="21"/>
      <c r="D13" s="21"/>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8"/>
      <c r="AG13" s="8"/>
      <c r="AH13" s="8">
        <f>COUNTA(Octobre[[#This Row],[1]:[31]])</f>
        <v>0</v>
      </c>
    </row>
    <row r="14" spans="2:34" ht="15" x14ac:dyDescent="0.25">
      <c r="B14" s="19" t="str">
        <f>Paramètre!$A22</f>
        <v>A8</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8">
        <f>COUNTA(Octobre[[#This Row],[1]:[31]])</f>
        <v>0</v>
      </c>
    </row>
    <row r="15" spans="2:34" ht="15" x14ac:dyDescent="0.25">
      <c r="B15" s="19" t="str">
        <f>Paramètre!$A23</f>
        <v>A9</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8">
        <f>COUNTA(Octobre[[#This Row],[1]:[31]])</f>
        <v>0</v>
      </c>
    </row>
    <row r="16" spans="2:34" ht="15" x14ac:dyDescent="0.25">
      <c r="B16" s="19" t="str">
        <f>Paramètre!$A24</f>
        <v>A10</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8">
        <f>COUNTA(Octobre[[#This Row],[1]:[31]])</f>
        <v>0</v>
      </c>
    </row>
    <row r="17" spans="2:34" ht="15" x14ac:dyDescent="0.25">
      <c r="B17" s="19" t="str">
        <f>Paramètre!$A25</f>
        <v>A11</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8">
        <f>COUNTA(Octobre[[#This Row],[1]:[31]])</f>
        <v>0</v>
      </c>
    </row>
    <row r="18" spans="2:34" ht="15" x14ac:dyDescent="0.25">
      <c r="B18" s="19" t="str">
        <f>Paramètre!$A26</f>
        <v>A12</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8">
        <f>COUNTA(Octobre[[#This Row],[1]:[31]])</f>
        <v>0</v>
      </c>
    </row>
    <row r="19" spans="2:34" ht="15" x14ac:dyDescent="0.25">
      <c r="B19" s="19" t="str">
        <f>Paramètre!$A27</f>
        <v>A13</v>
      </c>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8">
        <f>COUNTA(Octobre[[#This Row],[1]:[31]])</f>
        <v>0</v>
      </c>
    </row>
    <row r="20" spans="2:34" ht="15" x14ac:dyDescent="0.25">
      <c r="B20" s="19" t="str">
        <f>Paramètre!$A28</f>
        <v>A14</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8">
        <f>COUNTA(Octobre[[#This Row],[1]:[31]])</f>
        <v>0</v>
      </c>
    </row>
    <row r="21" spans="2:34" ht="15" x14ac:dyDescent="0.25">
      <c r="B21" s="19" t="str">
        <f>Paramètre!$A29</f>
        <v>A15</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8">
        <f>COUNTA(Octobre[[#This Row],[1]:[31]])</f>
        <v>0</v>
      </c>
    </row>
    <row r="22" spans="2:34" ht="15" x14ac:dyDescent="0.25">
      <c r="B22" s="19" t="str">
        <f>Paramètre!$A30</f>
        <v>A16</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8">
        <f>COUNTA(Octobre[[#This Row],[1]:[31]])</f>
        <v>0</v>
      </c>
    </row>
    <row r="23" spans="2:34" ht="15" x14ac:dyDescent="0.25">
      <c r="B23" s="19" t="str">
        <f>Paramètre!$A31</f>
        <v>A17</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8">
        <f>COUNTA(Octobre[[#This Row],[1]:[31]])</f>
        <v>0</v>
      </c>
    </row>
    <row r="24" spans="2:34" ht="15" x14ac:dyDescent="0.25">
      <c r="B24" s="19" t="str">
        <f>Paramètre!$A32</f>
        <v>A18</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8">
        <f>COUNTA(Octobre[[#This Row],[1]:[31]])</f>
        <v>0</v>
      </c>
    </row>
    <row r="25" spans="2:34" ht="15" x14ac:dyDescent="0.25">
      <c r="B25" s="19" t="str">
        <f>Paramètre!$A33</f>
        <v>A19</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8">
        <f>COUNTA(Octobre[[#This Row],[1]:[31]])</f>
        <v>0</v>
      </c>
    </row>
    <row r="26" spans="2:34" ht="15" x14ac:dyDescent="0.25">
      <c r="B26" s="19" t="str">
        <f>Paramètre!$A34</f>
        <v>A20</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8">
        <f>COUNTA(Octobre[[#This Row],[1]:[31]])</f>
        <v>0</v>
      </c>
    </row>
    <row r="27" spans="2:34" ht="15" x14ac:dyDescent="0.25">
      <c r="B27" s="19" t="str">
        <f>Paramètre!$A35</f>
        <v>A21</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8">
        <f>COUNTA(Octobre[[#This Row],[1]:[31]])</f>
        <v>0</v>
      </c>
    </row>
    <row r="28" spans="2:34" ht="15" x14ac:dyDescent="0.25">
      <c r="B28" s="19" t="str">
        <f>Paramètre!$A36</f>
        <v>A22</v>
      </c>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8">
        <f>COUNTA(Octobre[[#This Row],[1]:[31]])</f>
        <v>0</v>
      </c>
    </row>
    <row r="29" spans="2:34" ht="15" x14ac:dyDescent="0.25">
      <c r="B29" s="19" t="str">
        <f>Paramètre!$A37</f>
        <v>A23</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8">
        <f>COUNTA(Octobre[[#This Row],[1]:[31]])</f>
        <v>0</v>
      </c>
    </row>
    <row r="30" spans="2:34" ht="15" x14ac:dyDescent="0.25">
      <c r="B30" s="19" t="str">
        <f>Paramètre!$A38</f>
        <v>A24</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8">
        <f>COUNTA(Octobre[[#This Row],[1]:[31]])</f>
        <v>0</v>
      </c>
    </row>
    <row r="31" spans="2:34" ht="15" x14ac:dyDescent="0.25">
      <c r="B31" s="19" t="str">
        <f>Paramètre!$A39</f>
        <v>A25</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8">
        <f>COUNTA(Octobre[[#This Row],[1]:[31]])</f>
        <v>0</v>
      </c>
    </row>
    <row r="32" spans="2:34" ht="15" x14ac:dyDescent="0.25">
      <c r="B32" s="19" t="str">
        <f>Paramètre!$A40</f>
        <v>A26</v>
      </c>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8">
        <f>COUNTA(Octobre[[#This Row],[1]:[31]])</f>
        <v>0</v>
      </c>
    </row>
    <row r="33" spans="2:34" ht="15" x14ac:dyDescent="0.25">
      <c r="B33" s="19" t="str">
        <f>Paramètre!$A41</f>
        <v>A27</v>
      </c>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8">
        <f>COUNTA(Octobre[[#This Row],[1]:[31]])</f>
        <v>0</v>
      </c>
    </row>
    <row r="34" spans="2:34" ht="15" x14ac:dyDescent="0.25">
      <c r="B34" s="19" t="str">
        <f>Paramètre!$A42</f>
        <v>A28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8">
        <f>COUNTA(Octobre[[#This Row],[1]:[31]])</f>
        <v>0</v>
      </c>
    </row>
    <row r="35" spans="2:34" ht="15" x14ac:dyDescent="0.25">
      <c r="B35" s="19" t="str">
        <f>Paramètre!$A43</f>
        <v>A29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8">
        <f>COUNTA(Octobre[[#This Row],[1]:[31]])</f>
        <v>0</v>
      </c>
    </row>
    <row r="36" spans="2:34" ht="15" x14ac:dyDescent="0.25">
      <c r="B36" s="19" t="str">
        <f>Paramètre!$A44</f>
        <v>A30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8">
        <f>COUNTA(Octobre[[#This Row],[1]:[31]])</f>
        <v>0</v>
      </c>
    </row>
    <row r="37" spans="2:34" ht="30" customHeight="1" x14ac:dyDescent="0.25">
      <c r="B37" s="17" t="str">
        <f>NomMois&amp;" Total"</f>
        <v>Octobre Total</v>
      </c>
      <c r="C37" s="11">
        <f>SUBTOTAL(103,Octobre[1])</f>
        <v>0</v>
      </c>
      <c r="D37" s="11">
        <f>SUBTOTAL(103,Octobre[2])</f>
        <v>0</v>
      </c>
      <c r="E37" s="11">
        <f>SUBTOTAL(103,Octobre[3])</f>
        <v>0</v>
      </c>
      <c r="F37" s="11">
        <f>SUBTOTAL(103,Octobre[4])</f>
        <v>0</v>
      </c>
      <c r="G37" s="11">
        <f>SUBTOTAL(103,Octobre[5])</f>
        <v>0</v>
      </c>
      <c r="H37" s="11">
        <f>SUBTOTAL(103,Octobre[6])</f>
        <v>0</v>
      </c>
      <c r="I37" s="11">
        <f>SUBTOTAL(103,Octobre[7])</f>
        <v>0</v>
      </c>
      <c r="J37" s="11">
        <f>SUBTOTAL(103,Octobre[8])</f>
        <v>0</v>
      </c>
      <c r="K37" s="11">
        <f>SUBTOTAL(103,Octobre[9])</f>
        <v>0</v>
      </c>
      <c r="L37" s="11">
        <f>SUBTOTAL(103,Octobre[10])</f>
        <v>0</v>
      </c>
      <c r="M37" s="11">
        <f>SUBTOTAL(103,Octobre[11])</f>
        <v>0</v>
      </c>
      <c r="N37" s="11">
        <f>SUBTOTAL(103,Octobre[12])</f>
        <v>0</v>
      </c>
      <c r="O37" s="11">
        <f>SUBTOTAL(103,Octobre[13])</f>
        <v>0</v>
      </c>
      <c r="P37" s="11">
        <f>SUBTOTAL(103,Octobre[14])</f>
        <v>0</v>
      </c>
      <c r="Q37" s="11">
        <f>SUBTOTAL(103,Octobre[15])</f>
        <v>0</v>
      </c>
      <c r="R37" s="11">
        <f>SUBTOTAL(103,Octobre[16])</f>
        <v>0</v>
      </c>
      <c r="S37" s="11">
        <f>SUBTOTAL(103,Octobre[17])</f>
        <v>0</v>
      </c>
      <c r="T37" s="11">
        <f>SUBTOTAL(103,Octobre[18])</f>
        <v>0</v>
      </c>
      <c r="U37" s="11">
        <f>SUBTOTAL(103,Octobre[19])</f>
        <v>0</v>
      </c>
      <c r="V37" s="11">
        <f>SUBTOTAL(103,Octobre[20])</f>
        <v>0</v>
      </c>
      <c r="W37" s="11">
        <f>SUBTOTAL(103,Octobre[21])</f>
        <v>0</v>
      </c>
      <c r="X37" s="11">
        <f>SUBTOTAL(103,Octobre[22])</f>
        <v>0</v>
      </c>
      <c r="Y37" s="11">
        <f>SUBTOTAL(103,Octobre[23])</f>
        <v>0</v>
      </c>
      <c r="Z37" s="11">
        <f>SUBTOTAL(103,Octobre[24])</f>
        <v>0</v>
      </c>
      <c r="AA37" s="11">
        <f>SUBTOTAL(103,Octobre[25])</f>
        <v>0</v>
      </c>
      <c r="AB37" s="11">
        <f>SUBTOTAL(103,Octobre[26])</f>
        <v>0</v>
      </c>
      <c r="AC37" s="11">
        <f>SUBTOTAL(103,Octobre[27])</f>
        <v>0</v>
      </c>
      <c r="AD37" s="11">
        <f>SUBTOTAL(103,Octobre[28])</f>
        <v>0</v>
      </c>
      <c r="AE37" s="11">
        <f>SUBTOTAL(103,Octobre[29])</f>
        <v>0</v>
      </c>
      <c r="AF37" s="11">
        <f>SUBTOTAL(109,Octobre[30])</f>
        <v>0</v>
      </c>
      <c r="AG37" s="11">
        <f>SUBTOTAL(109,Octobre[31])</f>
        <v>0</v>
      </c>
      <c r="AH37" s="11">
        <f>SUBTOTAL(109,Octobre[Total des jours])</f>
        <v>0</v>
      </c>
    </row>
  </sheetData>
  <mergeCells count="7">
    <mergeCell ref="C4:AG4"/>
    <mergeCell ref="D2:E2"/>
    <mergeCell ref="G2:I2"/>
    <mergeCell ref="K2:L2"/>
    <mergeCell ref="N2:Q2"/>
    <mergeCell ref="S2:V2"/>
    <mergeCell ref="X2:AA2"/>
  </mergeCells>
  <conditionalFormatting sqref="AH7:AH36">
    <cfRule type="dataBar" priority="16">
      <dataBar>
        <cfvo type="min"/>
        <cfvo type="formula" val="DATEDIF(DATE(CalendarYear,2,1),DATE(CalendarYear,3,1),&quot;d&quot;)"/>
        <color theme="2" tint="-0.249977111117893"/>
      </dataBar>
      <extLst>
        <ext xmlns:x14="http://schemas.microsoft.com/office/spreadsheetml/2009/9/main" uri="{B025F937-C7B1-47D3-B67F-A62EFF666E3E}">
          <x14:id>{F32A08EA-50E8-4B5F-AB1F-5A7739FBC16C}</x14:id>
        </ext>
      </extLst>
    </cfRule>
  </conditionalFormatting>
  <conditionalFormatting sqref="C7:AG36">
    <cfRule type="expression" priority="2" stopIfTrue="1">
      <formula>C7=""</formula>
    </cfRule>
    <cfRule type="expression" dxfId="227" priority="4" stopIfTrue="1">
      <formula>C7=CléPersonnalisée2</formula>
    </cfRule>
    <cfRule type="expression" dxfId="226" priority="5" stopIfTrue="1">
      <formula>C7=CléPersonnalisée1</formula>
    </cfRule>
    <cfRule type="expression" dxfId="225" priority="6" stopIfTrue="1">
      <formula>C7=CléMaladie</formula>
    </cfRule>
    <cfRule type="expression" dxfId="224" priority="7" stopIfTrue="1">
      <formula>C7=CléPersonnel</formula>
    </cfRule>
    <cfRule type="expression" dxfId="223" priority="8" stopIfTrue="1">
      <formula>C7=CléCongé</formula>
    </cfRule>
  </conditionalFormatting>
  <conditionalFormatting sqref="C7:AG36">
    <cfRule type="expression" dxfId="222" priority="3">
      <formula>C7=CléPersonnalisée3</formula>
    </cfRule>
  </conditionalFormatting>
  <conditionalFormatting sqref="C37:AG37">
    <cfRule type="cellIs" dxfId="221" priority="1" operator="greaterThan">
      <formula>2</formula>
    </cfRule>
  </conditionalFormatting>
  <dataValidations count="1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octo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W2"/>
    <dataValidation allowBlank="1" showInputMessage="1" showErrorMessage="1" prompt="Entrez une étiquette pour décrire la clé personnalisée à gauche" sqref="N2 S2 X2"/>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type="list" allowBlank="1" showInputMessage="1" showErrorMessage="1" sqref="B7:B36">
      <formula1>#REF!</formula1>
    </dataValidation>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DATEDIF(DATE(CalendarYear,2,1),DATE(CalendarYear,3,1),"d")</xm:f>
              </x14:cfvo>
              <x14:negativeFillColor rgb="FFFF0000"/>
              <x14:axisColor rgb="FF000000"/>
            </x14:dataBar>
          </x14:cfRule>
          <xm:sqref>AH7:AH36</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2" tint="-0.249977111117893"/>
    <pageSetUpPr fitToPage="1"/>
  </sheetPr>
  <dimension ref="A1:AH37"/>
  <sheetViews>
    <sheetView showGridLines="0" zoomScaleNormal="100" workbookViewId="0">
      <pane xSplit="1" ySplit="6" topLeftCell="B7" activePane="bottomRight" state="frozen"/>
      <selection pane="topRight" activeCell="B1" sqref="B1"/>
      <selection pane="bottomLeft" activeCell="A7" sqref="A7"/>
      <selection pane="bottomRight" activeCell="C7" sqref="C7:AG36"/>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des absences des employés EQ B</v>
      </c>
    </row>
    <row r="2" spans="2:34" ht="15" customHeight="1" x14ac:dyDescent="0.25">
      <c r="B2" s="15" t="s">
        <v>0</v>
      </c>
      <c r="C2" s="3" t="s">
        <v>3</v>
      </c>
      <c r="D2" s="54" t="s">
        <v>6</v>
      </c>
      <c r="E2" s="54"/>
      <c r="F2" s="4" t="s">
        <v>57</v>
      </c>
      <c r="G2" s="53" t="s">
        <v>58</v>
      </c>
      <c r="H2" s="54"/>
      <c r="I2" s="54"/>
      <c r="J2" s="5" t="s">
        <v>10</v>
      </c>
      <c r="K2" s="54" t="s">
        <v>16</v>
      </c>
      <c r="L2" s="54"/>
      <c r="M2" s="6" t="s">
        <v>59</v>
      </c>
      <c r="N2" s="53" t="s">
        <v>60</v>
      </c>
      <c r="O2" s="54"/>
      <c r="P2" s="54"/>
      <c r="Q2" s="54"/>
      <c r="R2" s="7" t="s">
        <v>55</v>
      </c>
      <c r="S2" s="53" t="s">
        <v>56</v>
      </c>
      <c r="T2" s="54"/>
      <c r="U2" s="54"/>
      <c r="V2" s="54"/>
      <c r="W2" s="22" t="s">
        <v>62</v>
      </c>
      <c r="X2" s="53" t="s">
        <v>63</v>
      </c>
      <c r="Y2" s="54"/>
      <c r="Z2" s="54"/>
      <c r="AA2" s="54"/>
    </row>
    <row r="3" spans="2:34" ht="15" customHeight="1" x14ac:dyDescent="0.25">
      <c r="B3" s="12"/>
    </row>
    <row r="4" spans="2:34" ht="30" customHeight="1" x14ac:dyDescent="0.25">
      <c r="B4" s="10" t="s">
        <v>52</v>
      </c>
      <c r="C4" s="52" t="s">
        <v>4</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10">
        <f>AnnéeCalendrier</f>
        <v>2019</v>
      </c>
    </row>
    <row r="5" spans="2:34" ht="15" customHeight="1" x14ac:dyDescent="0.25">
      <c r="B5" s="10"/>
      <c r="C5" s="1" t="str">
        <f>TEXT(WEEKDAY(DATE(AnnéeCalendrier,11,1),1),"jjj")</f>
        <v>ven</v>
      </c>
      <c r="D5" s="1" t="str">
        <f>TEXT(WEEKDAY(DATE(AnnéeCalendrier,11,2),1),"jjj")</f>
        <v>sam</v>
      </c>
      <c r="E5" s="1" t="str">
        <f>TEXT(WEEKDAY(DATE(AnnéeCalendrier,11,3),1),"jjj")</f>
        <v>dim</v>
      </c>
      <c r="F5" s="1" t="str">
        <f>TEXT(WEEKDAY(DATE(AnnéeCalendrier,11,4),1),"jjj")</f>
        <v>lun</v>
      </c>
      <c r="G5" s="1" t="str">
        <f>TEXT(WEEKDAY(DATE(AnnéeCalendrier,11,5),1),"jjj")</f>
        <v>mar</v>
      </c>
      <c r="H5" s="1" t="str">
        <f>TEXT(WEEKDAY(DATE(AnnéeCalendrier,11,6),1),"jjj")</f>
        <v>mer</v>
      </c>
      <c r="I5" s="1" t="str">
        <f>TEXT(WEEKDAY(DATE(AnnéeCalendrier,11,7),1),"jjj")</f>
        <v>jeu</v>
      </c>
      <c r="J5" s="1" t="str">
        <f>TEXT(WEEKDAY(DATE(AnnéeCalendrier,11,8),1),"jjj")</f>
        <v>ven</v>
      </c>
      <c r="K5" s="1" t="str">
        <f>TEXT(WEEKDAY(DATE(AnnéeCalendrier,11,9),1),"jjj")</f>
        <v>sam</v>
      </c>
      <c r="L5" s="1" t="str">
        <f>TEXT(WEEKDAY(DATE(AnnéeCalendrier,11,10),1),"jjj")</f>
        <v>dim</v>
      </c>
      <c r="M5" s="1" t="str">
        <f>TEXT(WEEKDAY(DATE(AnnéeCalendrier,11,11),1),"jjj")</f>
        <v>lun</v>
      </c>
      <c r="N5" s="1" t="str">
        <f>TEXT(WEEKDAY(DATE(AnnéeCalendrier,11,12),1),"jjj")</f>
        <v>mar</v>
      </c>
      <c r="O5" s="1" t="str">
        <f>TEXT(WEEKDAY(DATE(AnnéeCalendrier,11,13),1),"jjj")</f>
        <v>mer</v>
      </c>
      <c r="P5" s="1" t="str">
        <f>TEXT(WEEKDAY(DATE(AnnéeCalendrier,11,14),1),"jjj")</f>
        <v>jeu</v>
      </c>
      <c r="Q5" s="1" t="str">
        <f>TEXT(WEEKDAY(DATE(AnnéeCalendrier,11,15),1),"jjj")</f>
        <v>ven</v>
      </c>
      <c r="R5" s="1" t="str">
        <f>TEXT(WEEKDAY(DATE(AnnéeCalendrier,11,16),1),"jjj")</f>
        <v>sam</v>
      </c>
      <c r="S5" s="1" t="str">
        <f>TEXT(WEEKDAY(DATE(AnnéeCalendrier,11,17),1),"jjj")</f>
        <v>dim</v>
      </c>
      <c r="T5" s="1" t="str">
        <f>TEXT(WEEKDAY(DATE(AnnéeCalendrier,11,18),1),"jjj")</f>
        <v>lun</v>
      </c>
      <c r="U5" s="1" t="str">
        <f>TEXT(WEEKDAY(DATE(AnnéeCalendrier,11,19),1),"jjj")</f>
        <v>mar</v>
      </c>
      <c r="V5" s="1" t="str">
        <f>TEXT(WEEKDAY(DATE(AnnéeCalendrier,11,20),1),"jjj")</f>
        <v>mer</v>
      </c>
      <c r="W5" s="1" t="str">
        <f>TEXT(WEEKDAY(DATE(AnnéeCalendrier,11,21),1),"jjj")</f>
        <v>jeu</v>
      </c>
      <c r="X5" s="1" t="str">
        <f>TEXT(WEEKDAY(DATE(AnnéeCalendrier,11,22),1),"jjj")</f>
        <v>ven</v>
      </c>
      <c r="Y5" s="1" t="str">
        <f>TEXT(WEEKDAY(DATE(AnnéeCalendrier,11,23),1),"jjj")</f>
        <v>sam</v>
      </c>
      <c r="Z5" s="1" t="str">
        <f>TEXT(WEEKDAY(DATE(AnnéeCalendrier,11,24),1),"jjj")</f>
        <v>dim</v>
      </c>
      <c r="AA5" s="1" t="str">
        <f>TEXT(WEEKDAY(DATE(AnnéeCalendrier,11,25),1),"jjj")</f>
        <v>lun</v>
      </c>
      <c r="AB5" s="1" t="str">
        <f>TEXT(WEEKDAY(DATE(AnnéeCalendrier,11,26),1),"jjj")</f>
        <v>mar</v>
      </c>
      <c r="AC5" s="1" t="str">
        <f>TEXT(WEEKDAY(DATE(AnnéeCalendrier,11,27),1),"jjj")</f>
        <v>mer</v>
      </c>
      <c r="AD5" s="1" t="str">
        <f>TEXT(WEEKDAY(DATE(AnnéeCalendrier,11,28),1),"jjj")</f>
        <v>jeu</v>
      </c>
      <c r="AE5" s="1" t="str">
        <f>TEXT(WEEKDAY(DATE(AnnéeCalendrier,11,29),1),"jjj")</f>
        <v>ven</v>
      </c>
      <c r="AF5" s="1" t="str">
        <f>TEXT(WEEKDAY(DATE(AnnéeCalendrier,11,30),1),"jjj")</f>
        <v>sam</v>
      </c>
      <c r="AG5" s="1"/>
      <c r="AH5" s="10"/>
    </row>
    <row r="6" spans="2:34" ht="15" customHeight="1" x14ac:dyDescent="0.25">
      <c r="B6" s="18" t="s">
        <v>2</v>
      </c>
      <c r="C6" s="2" t="s">
        <v>5</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15" x14ac:dyDescent="0.25">
      <c r="B7" s="19" t="str">
        <f>Paramètre!$A15</f>
        <v>A1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COUNTA(Novembre[[#This Row],[1]:[31]])</f>
        <v>0</v>
      </c>
    </row>
    <row r="8" spans="2:34" ht="15" x14ac:dyDescent="0.25">
      <c r="B8" s="19" t="str">
        <f>Paramètre!$A16</f>
        <v>A2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COUNTA(Novembre[[#This Row],[1]:[31]])</f>
        <v>0</v>
      </c>
    </row>
    <row r="9" spans="2:34" ht="15" x14ac:dyDescent="0.25">
      <c r="B9" s="19" t="str">
        <f>Paramètre!$A17</f>
        <v>A3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COUNTA(Novembre[[#This Row],[1]:[31]])</f>
        <v>0</v>
      </c>
    </row>
    <row r="10" spans="2:34" ht="15" x14ac:dyDescent="0.25">
      <c r="B10" s="19" t="str">
        <f>Paramètre!$A18</f>
        <v>A4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COUNTA(Novembre[[#This Row],[1]:[31]])</f>
        <v>0</v>
      </c>
    </row>
    <row r="11" spans="2:34" ht="15" x14ac:dyDescent="0.25">
      <c r="B11" s="19" t="str">
        <f>Paramètre!$A19</f>
        <v>A5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COUNTA(Novembre[[#This Row],[1]:[31]])</f>
        <v>0</v>
      </c>
    </row>
    <row r="12" spans="2:34" ht="15" x14ac:dyDescent="0.25">
      <c r="B12" s="19" t="str">
        <f>Paramètre!$A20</f>
        <v>A6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8">
        <f>COUNTA(Novembre[[#This Row],[1]:[31]])</f>
        <v>0</v>
      </c>
    </row>
    <row r="13" spans="2:34" ht="15" x14ac:dyDescent="0.25">
      <c r="B13" s="19" t="str">
        <f>Paramètre!$A21</f>
        <v>A7</v>
      </c>
      <c r="C13" s="21"/>
      <c r="D13" s="21"/>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8"/>
      <c r="AG13" s="8"/>
      <c r="AH13" s="8">
        <f>COUNTA(Novembre[[#This Row],[1]:[31]])</f>
        <v>0</v>
      </c>
    </row>
    <row r="14" spans="2:34" ht="15" x14ac:dyDescent="0.25">
      <c r="B14" s="19" t="str">
        <f>Paramètre!$A22</f>
        <v>A8</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8">
        <f>COUNTA(Novembre[[#This Row],[1]:[31]])</f>
        <v>0</v>
      </c>
    </row>
    <row r="15" spans="2:34" ht="15" x14ac:dyDescent="0.25">
      <c r="B15" s="19" t="str">
        <f>Paramètre!$A23</f>
        <v>A9</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8">
        <f>COUNTA(Novembre[[#This Row],[1]:[31]])</f>
        <v>0</v>
      </c>
    </row>
    <row r="16" spans="2:34" ht="15" x14ac:dyDescent="0.25">
      <c r="B16" s="19" t="str">
        <f>Paramètre!$A24</f>
        <v>A10</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8">
        <f>COUNTA(Novembre[[#This Row],[1]:[31]])</f>
        <v>0</v>
      </c>
    </row>
    <row r="17" spans="2:34" ht="15" x14ac:dyDescent="0.25">
      <c r="B17" s="19" t="str">
        <f>Paramètre!$A25</f>
        <v>A11</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8">
        <f>COUNTA(Novembre[[#This Row],[1]:[31]])</f>
        <v>0</v>
      </c>
    </row>
    <row r="18" spans="2:34" ht="15" x14ac:dyDescent="0.25">
      <c r="B18" s="19" t="str">
        <f>Paramètre!$A26</f>
        <v>A12</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8">
        <f>COUNTA(Novembre[[#This Row],[1]:[31]])</f>
        <v>0</v>
      </c>
    </row>
    <row r="19" spans="2:34" ht="15" x14ac:dyDescent="0.25">
      <c r="B19" s="19" t="str">
        <f>Paramètre!$A27</f>
        <v>A13</v>
      </c>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8">
        <f>COUNTA(Novembre[[#This Row],[1]:[31]])</f>
        <v>0</v>
      </c>
    </row>
    <row r="20" spans="2:34" ht="15" x14ac:dyDescent="0.25">
      <c r="B20" s="19" t="str">
        <f>Paramètre!$A28</f>
        <v>A14</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8">
        <f>COUNTA(Novembre[[#This Row],[1]:[31]])</f>
        <v>0</v>
      </c>
    </row>
    <row r="21" spans="2:34" ht="15" x14ac:dyDescent="0.25">
      <c r="B21" s="19" t="str">
        <f>Paramètre!$A29</f>
        <v>A15</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8">
        <f>COUNTA(Novembre[[#This Row],[1]:[31]])</f>
        <v>0</v>
      </c>
    </row>
    <row r="22" spans="2:34" ht="15" x14ac:dyDescent="0.25">
      <c r="B22" s="19" t="str">
        <f>Paramètre!$A30</f>
        <v>A16</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8">
        <f>COUNTA(Novembre[[#This Row],[1]:[31]])</f>
        <v>0</v>
      </c>
    </row>
    <row r="23" spans="2:34" ht="15" x14ac:dyDescent="0.25">
      <c r="B23" s="19" t="str">
        <f>Paramètre!$A31</f>
        <v>A17</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8">
        <f>COUNTA(Novembre[[#This Row],[1]:[31]])</f>
        <v>0</v>
      </c>
    </row>
    <row r="24" spans="2:34" ht="15" x14ac:dyDescent="0.25">
      <c r="B24" s="19" t="str">
        <f>Paramètre!$A32</f>
        <v>A18</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8">
        <f>COUNTA(Novembre[[#This Row],[1]:[31]])</f>
        <v>0</v>
      </c>
    </row>
    <row r="25" spans="2:34" ht="15" x14ac:dyDescent="0.25">
      <c r="B25" s="19" t="str">
        <f>Paramètre!$A33</f>
        <v>A19</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8">
        <f>COUNTA(Novembre[[#This Row],[1]:[31]])</f>
        <v>0</v>
      </c>
    </row>
    <row r="26" spans="2:34" ht="15" x14ac:dyDescent="0.25">
      <c r="B26" s="19" t="str">
        <f>Paramètre!$A34</f>
        <v>A20</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8">
        <f>COUNTA(Novembre[[#This Row],[1]:[31]])</f>
        <v>0</v>
      </c>
    </row>
    <row r="27" spans="2:34" ht="15" x14ac:dyDescent="0.25">
      <c r="B27" s="19" t="str">
        <f>Paramètre!$A35</f>
        <v>A21</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8">
        <f>COUNTA(Novembre[[#This Row],[1]:[31]])</f>
        <v>0</v>
      </c>
    </row>
    <row r="28" spans="2:34" ht="15" x14ac:dyDescent="0.25">
      <c r="B28" s="19" t="str">
        <f>Paramètre!$A36</f>
        <v>A22</v>
      </c>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8">
        <f>COUNTA(Novembre[[#This Row],[1]:[31]])</f>
        <v>0</v>
      </c>
    </row>
    <row r="29" spans="2:34" ht="15" x14ac:dyDescent="0.25">
      <c r="B29" s="19" t="str">
        <f>Paramètre!$A37</f>
        <v>A23</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8">
        <f>COUNTA(Novembre[[#This Row],[1]:[31]])</f>
        <v>0</v>
      </c>
    </row>
    <row r="30" spans="2:34" ht="15" x14ac:dyDescent="0.25">
      <c r="B30" s="19" t="str">
        <f>Paramètre!$A38</f>
        <v>A24</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8">
        <f>COUNTA(Novembre[[#This Row],[1]:[31]])</f>
        <v>0</v>
      </c>
    </row>
    <row r="31" spans="2:34" ht="15" x14ac:dyDescent="0.25">
      <c r="B31" s="19" t="str">
        <f>Paramètre!$A39</f>
        <v>A25</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8">
        <f>COUNTA(Novembre[[#This Row],[1]:[31]])</f>
        <v>0</v>
      </c>
    </row>
    <row r="32" spans="2:34" ht="15" x14ac:dyDescent="0.25">
      <c r="B32" s="19" t="str">
        <f>Paramètre!$A40</f>
        <v>A26</v>
      </c>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8">
        <f>COUNTA(Novembre[[#This Row],[1]:[31]])</f>
        <v>0</v>
      </c>
    </row>
    <row r="33" spans="2:34" ht="15" x14ac:dyDescent="0.25">
      <c r="B33" s="19" t="str">
        <f>Paramètre!$A41</f>
        <v>A27</v>
      </c>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8">
        <f>COUNTA(Novembre[[#This Row],[1]:[31]])</f>
        <v>0</v>
      </c>
    </row>
    <row r="34" spans="2:34" ht="15" x14ac:dyDescent="0.25">
      <c r="B34" s="19" t="str">
        <f>Paramètre!$A42</f>
        <v>A28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8">
        <f>COUNTA(Novembre[[#This Row],[1]:[31]])</f>
        <v>0</v>
      </c>
    </row>
    <row r="35" spans="2:34" ht="15" x14ac:dyDescent="0.25">
      <c r="B35" s="19" t="str">
        <f>Paramètre!$A43</f>
        <v>A29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8">
        <f>COUNTA(Novembre[[#This Row],[1]:[31]])</f>
        <v>0</v>
      </c>
    </row>
    <row r="36" spans="2:34" ht="15" x14ac:dyDescent="0.25">
      <c r="B36" s="19" t="str">
        <f>Paramètre!$A44</f>
        <v>A30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8">
        <f>COUNTA(Novembre[[#This Row],[1]:[31]])</f>
        <v>0</v>
      </c>
    </row>
    <row r="37" spans="2:34" ht="30" customHeight="1" x14ac:dyDescent="0.25">
      <c r="B37" s="17" t="str">
        <f>NomMois&amp;" Total"</f>
        <v>Novembre Total</v>
      </c>
      <c r="C37" s="11">
        <f>SUBTOTAL(103,Novembre[1])</f>
        <v>0</v>
      </c>
      <c r="D37" s="11">
        <f>SUBTOTAL(103,Novembre[2])</f>
        <v>0</v>
      </c>
      <c r="E37" s="11">
        <f>SUBTOTAL(103,Novembre[3])</f>
        <v>0</v>
      </c>
      <c r="F37" s="11">
        <f>SUBTOTAL(103,Novembre[4])</f>
        <v>0</v>
      </c>
      <c r="G37" s="11">
        <f>SUBTOTAL(103,Novembre[5])</f>
        <v>0</v>
      </c>
      <c r="H37" s="11">
        <f>SUBTOTAL(103,Novembre[6])</f>
        <v>0</v>
      </c>
      <c r="I37" s="11">
        <f>SUBTOTAL(103,Novembre[7])</f>
        <v>0</v>
      </c>
      <c r="J37" s="11">
        <f>SUBTOTAL(103,Novembre[8])</f>
        <v>0</v>
      </c>
      <c r="K37" s="11">
        <f>SUBTOTAL(103,Novembre[9])</f>
        <v>0</v>
      </c>
      <c r="L37" s="11">
        <f>SUBTOTAL(103,Novembre[10])</f>
        <v>0</v>
      </c>
      <c r="M37" s="11">
        <f>SUBTOTAL(103,Novembre[11])</f>
        <v>0</v>
      </c>
      <c r="N37" s="11">
        <f>SUBTOTAL(103,Novembre[12])</f>
        <v>0</v>
      </c>
      <c r="O37" s="11">
        <f>SUBTOTAL(103,Novembre[13])</f>
        <v>0</v>
      </c>
      <c r="P37" s="11">
        <f>SUBTOTAL(103,Novembre[14])</f>
        <v>0</v>
      </c>
      <c r="Q37" s="11">
        <f>SUBTOTAL(103,Novembre[15])</f>
        <v>0</v>
      </c>
      <c r="R37" s="11">
        <f>SUBTOTAL(103,Novembre[16])</f>
        <v>0</v>
      </c>
      <c r="S37" s="11">
        <f>SUBTOTAL(103,Novembre[17])</f>
        <v>0</v>
      </c>
      <c r="T37" s="11">
        <f>SUBTOTAL(103,Novembre[18])</f>
        <v>0</v>
      </c>
      <c r="U37" s="11">
        <f>SUBTOTAL(103,Novembre[19])</f>
        <v>0</v>
      </c>
      <c r="V37" s="11">
        <f>SUBTOTAL(103,Novembre[20])</f>
        <v>0</v>
      </c>
      <c r="W37" s="11">
        <f>SUBTOTAL(103,Novembre[21])</f>
        <v>0</v>
      </c>
      <c r="X37" s="11">
        <f>SUBTOTAL(103,Novembre[22])</f>
        <v>0</v>
      </c>
      <c r="Y37" s="11">
        <f>SUBTOTAL(103,Novembre[23])</f>
        <v>0</v>
      </c>
      <c r="Z37" s="11">
        <f>SUBTOTAL(103,Novembre[24])</f>
        <v>0</v>
      </c>
      <c r="AA37" s="11">
        <f>SUBTOTAL(103,Novembre[25])</f>
        <v>0</v>
      </c>
      <c r="AB37" s="11">
        <f>SUBTOTAL(103,Novembre[26])</f>
        <v>0</v>
      </c>
      <c r="AC37" s="11">
        <f>SUBTOTAL(103,Novembre[27])</f>
        <v>0</v>
      </c>
      <c r="AD37" s="11">
        <f>SUBTOTAL(103,Novembre[28])</f>
        <v>0</v>
      </c>
      <c r="AE37" s="11">
        <f>SUBTOTAL(103,Novembre[29])</f>
        <v>0</v>
      </c>
      <c r="AF37" s="11">
        <f>SUBTOTAL(109,Novembre[30])</f>
        <v>0</v>
      </c>
      <c r="AG37" s="11">
        <f>SUBTOTAL(109,Novembre[31])</f>
        <v>0</v>
      </c>
      <c r="AH37" s="11">
        <f>SUBTOTAL(109,Novembre[Total des jours])</f>
        <v>0</v>
      </c>
    </row>
  </sheetData>
  <mergeCells count="7">
    <mergeCell ref="C4:AG4"/>
    <mergeCell ref="D2:E2"/>
    <mergeCell ref="G2:I2"/>
    <mergeCell ref="K2:L2"/>
    <mergeCell ref="N2:Q2"/>
    <mergeCell ref="S2:V2"/>
    <mergeCell ref="X2:AA2"/>
  </mergeCells>
  <conditionalFormatting sqref="AH7:AH36">
    <cfRule type="dataBar" priority="16">
      <dataBar>
        <cfvo type="min"/>
        <cfvo type="formula" val="DATEDIF(DATE(CalendarYear,2,1),DATE(CalendarYear,3,1),&quot;d&quot;)"/>
        <color theme="2" tint="-0.249977111117893"/>
      </dataBar>
      <extLst>
        <ext xmlns:x14="http://schemas.microsoft.com/office/spreadsheetml/2009/9/main" uri="{B025F937-C7B1-47D3-B67F-A62EFF666E3E}">
          <x14:id>{871B5727-7178-4193-82BC-335A9472A989}</x14:id>
        </ext>
      </extLst>
    </cfRule>
  </conditionalFormatting>
  <conditionalFormatting sqref="C7:AG36">
    <cfRule type="expression" priority="2" stopIfTrue="1">
      <formula>C7=""</formula>
    </cfRule>
    <cfRule type="expression" dxfId="151" priority="4" stopIfTrue="1">
      <formula>C7=CléPersonnalisée2</formula>
    </cfRule>
    <cfRule type="expression" dxfId="150" priority="5" stopIfTrue="1">
      <formula>C7=CléPersonnalisée1</formula>
    </cfRule>
    <cfRule type="expression" dxfId="149" priority="6" stopIfTrue="1">
      <formula>C7=CléMaladie</formula>
    </cfRule>
    <cfRule type="expression" dxfId="148" priority="7" stopIfTrue="1">
      <formula>C7=CléPersonnel</formula>
    </cfRule>
    <cfRule type="expression" dxfId="147" priority="8" stopIfTrue="1">
      <formula>C7=CléCongé</formula>
    </cfRule>
  </conditionalFormatting>
  <conditionalFormatting sqref="C7:AG36">
    <cfRule type="expression" dxfId="146" priority="3">
      <formula>C7=CléPersonnalisée3</formula>
    </cfRule>
  </conditionalFormatting>
  <conditionalFormatting sqref="C37:AG37">
    <cfRule type="cellIs" dxfId="145" priority="1" operator="greaterThan">
      <formula>2</formula>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Entrez une étiquette pour décrire la clé personnalisée à gauche" sqref="N2 S2 X2"/>
    <dataValidation allowBlank="1" showInputMessage="1" showErrorMessage="1" prompt="Entrez une lettre et personnalisez l’étiquette à droite pour ajouter un élément de clé" sqref="M2 R2 W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novembre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type="list" allowBlank="1" showInputMessage="1" showErrorMessage="1" sqref="B7:B36">
      <formula1>#REF!</formula1>
    </dataValidation>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871B5727-7178-4193-82BC-335A9472A989}">
            <x14:dataBar minLength="0" maxLength="100">
              <x14:cfvo type="autoMin"/>
              <x14:cfvo type="formula">
                <xm:f>DATEDIF(DATE(CalendarYear,2,1),DATE(CalendarYear,3,1),"d")</xm:f>
              </x14:cfvo>
              <x14:negativeFillColor rgb="FFFF0000"/>
              <x14:axisColor rgb="FF000000"/>
            </x14:dataBar>
          </x14:cfRule>
          <xm:sqref>AH7:AH36</xm:sqref>
        </x14:conditionalFormatting>
      </x14:conditionalFormattings>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7" tint="0.79998168889431442"/>
    <pageSetUpPr fitToPage="1"/>
  </sheetPr>
  <dimension ref="A1:AH37"/>
  <sheetViews>
    <sheetView showGridLines="0" topLeftCell="B1" zoomScaleNormal="100" workbookViewId="0">
      <pane xSplit="1" ySplit="6" topLeftCell="C7" activePane="bottomRight" state="frozen"/>
      <selection activeCell="B1" sqref="B1"/>
      <selection pane="topRight" activeCell="C1" sqref="C1"/>
      <selection pane="bottomLeft" activeCell="B7" sqref="B7"/>
      <selection pane="bottomRight" activeCell="C7" sqref="C7:AG36"/>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des absences des employés EQ B</v>
      </c>
    </row>
    <row r="2" spans="2:34" ht="15" customHeight="1" x14ac:dyDescent="0.25">
      <c r="B2" s="15" t="s">
        <v>0</v>
      </c>
      <c r="C2" s="3" t="s">
        <v>3</v>
      </c>
      <c r="D2" s="54" t="s">
        <v>6</v>
      </c>
      <c r="E2" s="54"/>
      <c r="F2" s="4" t="s">
        <v>57</v>
      </c>
      <c r="G2" s="53" t="s">
        <v>58</v>
      </c>
      <c r="H2" s="54"/>
      <c r="I2" s="54"/>
      <c r="J2" s="5" t="s">
        <v>10</v>
      </c>
      <c r="K2" s="54" t="s">
        <v>16</v>
      </c>
      <c r="L2" s="54"/>
      <c r="M2" s="6" t="s">
        <v>59</v>
      </c>
      <c r="N2" s="53" t="s">
        <v>60</v>
      </c>
      <c r="O2" s="54"/>
      <c r="P2" s="54"/>
      <c r="Q2" s="54"/>
      <c r="R2" s="7" t="s">
        <v>55</v>
      </c>
      <c r="S2" s="53" t="s">
        <v>56</v>
      </c>
      <c r="T2" s="54"/>
      <c r="U2" s="54"/>
      <c r="V2" s="54"/>
      <c r="W2" s="22" t="s">
        <v>62</v>
      </c>
      <c r="X2" s="53" t="s">
        <v>63</v>
      </c>
      <c r="Y2" s="54"/>
      <c r="Z2" s="54"/>
      <c r="AA2" s="54"/>
    </row>
    <row r="3" spans="2:34" ht="15" customHeight="1" x14ac:dyDescent="0.25">
      <c r="B3" s="12"/>
    </row>
    <row r="4" spans="2:34" ht="30" customHeight="1" x14ac:dyDescent="0.25">
      <c r="B4" s="10" t="s">
        <v>53</v>
      </c>
      <c r="C4" s="52" t="s">
        <v>4</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10">
        <f>AnnéeCalendrier</f>
        <v>2019</v>
      </c>
    </row>
    <row r="5" spans="2:34" ht="15" customHeight="1" x14ac:dyDescent="0.25">
      <c r="B5" s="10"/>
      <c r="C5" s="1" t="str">
        <f>TEXT(WEEKDAY(DATE(AnnéeCalendrier,12,1),1),"jjj")</f>
        <v>dim</v>
      </c>
      <c r="D5" s="1" t="str">
        <f>TEXT(WEEKDAY(DATE(AnnéeCalendrier,12,2),1),"jjj")</f>
        <v>lun</v>
      </c>
      <c r="E5" s="1" t="str">
        <f>TEXT(WEEKDAY(DATE(AnnéeCalendrier,12,3),1),"jjj")</f>
        <v>mar</v>
      </c>
      <c r="F5" s="1" t="str">
        <f>TEXT(WEEKDAY(DATE(AnnéeCalendrier,12,4),1),"jjj")</f>
        <v>mer</v>
      </c>
      <c r="G5" s="1" t="str">
        <f>TEXT(WEEKDAY(DATE(AnnéeCalendrier,12,5),1),"jjj")</f>
        <v>jeu</v>
      </c>
      <c r="H5" s="1" t="str">
        <f>TEXT(WEEKDAY(DATE(AnnéeCalendrier,12,6),1),"jjj")</f>
        <v>ven</v>
      </c>
      <c r="I5" s="1" t="str">
        <f>TEXT(WEEKDAY(DATE(AnnéeCalendrier,12,7),1),"jjj")</f>
        <v>sam</v>
      </c>
      <c r="J5" s="1" t="str">
        <f>TEXT(WEEKDAY(DATE(AnnéeCalendrier,12,8),1),"jjj")</f>
        <v>dim</v>
      </c>
      <c r="K5" s="1" t="str">
        <f>TEXT(WEEKDAY(DATE(AnnéeCalendrier,12,9),1),"jjj")</f>
        <v>lun</v>
      </c>
      <c r="L5" s="1" t="str">
        <f>TEXT(WEEKDAY(DATE(AnnéeCalendrier,12,10),1),"jjj")</f>
        <v>mar</v>
      </c>
      <c r="M5" s="1" t="str">
        <f>TEXT(WEEKDAY(DATE(AnnéeCalendrier,12,11),1),"jjj")</f>
        <v>mer</v>
      </c>
      <c r="N5" s="1" t="str">
        <f>TEXT(WEEKDAY(DATE(AnnéeCalendrier,12,12),1),"jjj")</f>
        <v>jeu</v>
      </c>
      <c r="O5" s="1" t="str">
        <f>TEXT(WEEKDAY(DATE(AnnéeCalendrier,12,13),1),"jjj")</f>
        <v>ven</v>
      </c>
      <c r="P5" s="1" t="str">
        <f>TEXT(WEEKDAY(DATE(AnnéeCalendrier,12,14),1),"jjj")</f>
        <v>sam</v>
      </c>
      <c r="Q5" s="1" t="str">
        <f>TEXT(WEEKDAY(DATE(AnnéeCalendrier,12,15),1),"jjj")</f>
        <v>dim</v>
      </c>
      <c r="R5" s="1" t="str">
        <f>TEXT(WEEKDAY(DATE(AnnéeCalendrier,12,16),1),"jjj")</f>
        <v>lun</v>
      </c>
      <c r="S5" s="1" t="str">
        <f>TEXT(WEEKDAY(DATE(AnnéeCalendrier,12,17),1),"jjj")</f>
        <v>mar</v>
      </c>
      <c r="T5" s="1" t="str">
        <f>TEXT(WEEKDAY(DATE(AnnéeCalendrier,12,18),1),"jjj")</f>
        <v>mer</v>
      </c>
      <c r="U5" s="1" t="str">
        <f>TEXT(WEEKDAY(DATE(AnnéeCalendrier,12,19),1),"jjj")</f>
        <v>jeu</v>
      </c>
      <c r="V5" s="1" t="str">
        <f>TEXT(WEEKDAY(DATE(AnnéeCalendrier,12,20),1),"jjj")</f>
        <v>ven</v>
      </c>
      <c r="W5" s="1" t="str">
        <f>TEXT(WEEKDAY(DATE(AnnéeCalendrier,12,21),1),"jjj")</f>
        <v>sam</v>
      </c>
      <c r="X5" s="1" t="str">
        <f>TEXT(WEEKDAY(DATE(AnnéeCalendrier,12,22),1),"jjj")</f>
        <v>dim</v>
      </c>
      <c r="Y5" s="1" t="str">
        <f>TEXT(WEEKDAY(DATE(AnnéeCalendrier,12,23),1),"jjj")</f>
        <v>lun</v>
      </c>
      <c r="Z5" s="1" t="str">
        <f>TEXT(WEEKDAY(DATE(AnnéeCalendrier,12,24),1),"jjj")</f>
        <v>mar</v>
      </c>
      <c r="AA5" s="1" t="str">
        <f>TEXT(WEEKDAY(DATE(AnnéeCalendrier,12,25),1),"jjj")</f>
        <v>mer</v>
      </c>
      <c r="AB5" s="1" t="str">
        <f>TEXT(WEEKDAY(DATE(AnnéeCalendrier,12,26),1),"jjj")</f>
        <v>jeu</v>
      </c>
      <c r="AC5" s="1" t="str">
        <f>TEXT(WEEKDAY(DATE(AnnéeCalendrier,12,27),1),"jjj")</f>
        <v>ven</v>
      </c>
      <c r="AD5" s="1" t="str">
        <f>TEXT(WEEKDAY(DATE(AnnéeCalendrier,12,28),1),"jjj")</f>
        <v>sam</v>
      </c>
      <c r="AE5" s="1" t="str">
        <f>TEXT(WEEKDAY(DATE(AnnéeCalendrier,12,29),1),"jjj")</f>
        <v>dim</v>
      </c>
      <c r="AF5" s="1" t="str">
        <f>TEXT(WEEKDAY(DATE(AnnéeCalendrier,12,30),1),"jjj")</f>
        <v>lun</v>
      </c>
      <c r="AG5" s="1" t="str">
        <f>TEXT(WEEKDAY(DATE(AnnéeCalendrier,12,31),1),"jjj")</f>
        <v>mar</v>
      </c>
      <c r="AH5" s="10"/>
    </row>
    <row r="6" spans="2:34" ht="15" customHeight="1" x14ac:dyDescent="0.25">
      <c r="B6" s="18" t="s">
        <v>2</v>
      </c>
      <c r="C6" s="2" t="s">
        <v>5</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15" x14ac:dyDescent="0.25">
      <c r="B7" s="19" t="str">
        <f>Paramètre!$A15</f>
        <v>A1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COUNTA(Décembre[[#This Row],[1]:[31]])</f>
        <v>0</v>
      </c>
    </row>
    <row r="8" spans="2:34" ht="15" x14ac:dyDescent="0.25">
      <c r="B8" s="19" t="str">
        <f>Paramètre!$A16</f>
        <v>A2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COUNTA(Décembre[[#This Row],[1]:[31]])</f>
        <v>0</v>
      </c>
    </row>
    <row r="9" spans="2:34" ht="15" x14ac:dyDescent="0.25">
      <c r="B9" s="19" t="str">
        <f>Paramètre!$A17</f>
        <v>A3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COUNTA(Décembre[[#This Row],[1]:[31]])</f>
        <v>0</v>
      </c>
    </row>
    <row r="10" spans="2:34" ht="15" x14ac:dyDescent="0.25">
      <c r="B10" s="19" t="str">
        <f>Paramètre!$A18</f>
        <v>A4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COUNTA(Décembre[[#This Row],[1]:[31]])</f>
        <v>0</v>
      </c>
    </row>
    <row r="11" spans="2:34" ht="15" x14ac:dyDescent="0.25">
      <c r="B11" s="19" t="str">
        <f>Paramètre!$A19</f>
        <v>A5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COUNTA(Décembre[[#This Row],[1]:[31]])</f>
        <v>0</v>
      </c>
    </row>
    <row r="12" spans="2:34" ht="15" x14ac:dyDescent="0.25">
      <c r="B12" s="19" t="str">
        <f>Paramètre!$A20</f>
        <v>A6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8">
        <f>COUNTA(Décembre[[#This Row],[1]:[31]])</f>
        <v>0</v>
      </c>
    </row>
    <row r="13" spans="2:34" ht="14.25" customHeight="1" x14ac:dyDescent="0.25">
      <c r="B13" s="19" t="str">
        <f>Paramètre!$A21</f>
        <v>A7</v>
      </c>
      <c r="C13" s="21"/>
      <c r="D13" s="21"/>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8"/>
      <c r="AG13" s="8"/>
      <c r="AH13" s="8">
        <f>COUNTA(Décembre[[#This Row],[1]:[31]])</f>
        <v>0</v>
      </c>
    </row>
    <row r="14" spans="2:34" ht="14.25" customHeight="1" x14ac:dyDescent="0.25">
      <c r="B14" s="19" t="str">
        <f>Paramètre!$A22</f>
        <v>A8</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8">
        <f>COUNTA(Décembre[[#This Row],[1]:[31]])</f>
        <v>0</v>
      </c>
    </row>
    <row r="15" spans="2:34" ht="15" x14ac:dyDescent="0.25">
      <c r="B15" s="19" t="str">
        <f>Paramètre!$A23</f>
        <v>A9</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8">
        <f>COUNTA(Décembre[[#This Row],[1]:[31]])</f>
        <v>0</v>
      </c>
    </row>
    <row r="16" spans="2:34" ht="15" x14ac:dyDescent="0.25">
      <c r="B16" s="19" t="str">
        <f>Paramètre!$A24</f>
        <v>A10</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8">
        <f>COUNTA(Décembre[[#This Row],[1]:[31]])</f>
        <v>0</v>
      </c>
    </row>
    <row r="17" spans="2:34" ht="15" x14ac:dyDescent="0.25">
      <c r="B17" s="19" t="str">
        <f>Paramètre!$A25</f>
        <v>A11</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8">
        <f>COUNTA(Décembre[[#This Row],[1]:[31]])</f>
        <v>0</v>
      </c>
    </row>
    <row r="18" spans="2:34" ht="15" x14ac:dyDescent="0.25">
      <c r="B18" s="19" t="str">
        <f>Paramètre!$A26</f>
        <v>A12</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8">
        <f>COUNTA(Décembre[[#This Row],[1]:[31]])</f>
        <v>0</v>
      </c>
    </row>
    <row r="19" spans="2:34" ht="15" x14ac:dyDescent="0.25">
      <c r="B19" s="19" t="str">
        <f>Paramètre!$A27</f>
        <v>A13</v>
      </c>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8">
        <f>COUNTA(Décembre[[#This Row],[1]:[31]])</f>
        <v>0</v>
      </c>
    </row>
    <row r="20" spans="2:34" ht="15" x14ac:dyDescent="0.25">
      <c r="B20" s="19" t="str">
        <f>Paramètre!$A28</f>
        <v>A14</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8">
        <f>COUNTA(Décembre[[#This Row],[1]:[31]])</f>
        <v>0</v>
      </c>
    </row>
    <row r="21" spans="2:34" ht="15" x14ac:dyDescent="0.25">
      <c r="B21" s="19" t="str">
        <f>Paramètre!$A29</f>
        <v>A15</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8">
        <f>COUNTA(Décembre[[#This Row],[1]:[31]])</f>
        <v>0</v>
      </c>
    </row>
    <row r="22" spans="2:34" ht="15" x14ac:dyDescent="0.25">
      <c r="B22" s="19" t="str">
        <f>Paramètre!$A30</f>
        <v>A16</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8">
        <f>COUNTA(Décembre[[#This Row],[1]:[31]])</f>
        <v>0</v>
      </c>
    </row>
    <row r="23" spans="2:34" ht="15" x14ac:dyDescent="0.25">
      <c r="B23" s="19" t="str">
        <f>Paramètre!$A31</f>
        <v>A17</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8">
        <f>COUNTA(Décembre[[#This Row],[1]:[31]])</f>
        <v>0</v>
      </c>
    </row>
    <row r="24" spans="2:34" ht="15" x14ac:dyDescent="0.25">
      <c r="B24" s="19" t="str">
        <f>Paramètre!$A32</f>
        <v>A18</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8">
        <f>COUNTA(Décembre[[#This Row],[1]:[31]])</f>
        <v>0</v>
      </c>
    </row>
    <row r="25" spans="2:34" ht="15" x14ac:dyDescent="0.25">
      <c r="B25" s="19" t="str">
        <f>Paramètre!$A33</f>
        <v>A19</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8">
        <f>COUNTA(Décembre[[#This Row],[1]:[31]])</f>
        <v>0</v>
      </c>
    </row>
    <row r="26" spans="2:34" ht="15" x14ac:dyDescent="0.25">
      <c r="B26" s="19" t="str">
        <f>Paramètre!$A34</f>
        <v>A20</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8">
        <f>COUNTA(Décembre[[#This Row],[1]:[31]])</f>
        <v>0</v>
      </c>
    </row>
    <row r="27" spans="2:34" ht="15" x14ac:dyDescent="0.25">
      <c r="B27" s="19" t="str">
        <f>Paramètre!$A35</f>
        <v>A21</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8">
        <f>COUNTA(Décembre[[#This Row],[1]:[31]])</f>
        <v>0</v>
      </c>
    </row>
    <row r="28" spans="2:34" ht="15" x14ac:dyDescent="0.25">
      <c r="B28" s="19" t="str">
        <f>Paramètre!$A36</f>
        <v>A22</v>
      </c>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8">
        <f>COUNTA(Décembre[[#This Row],[1]:[31]])</f>
        <v>0</v>
      </c>
    </row>
    <row r="29" spans="2:34" ht="15" x14ac:dyDescent="0.25">
      <c r="B29" s="19" t="str">
        <f>Paramètre!$A37</f>
        <v>A23</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8">
        <f>COUNTA(Décembre[[#This Row],[1]:[31]])</f>
        <v>0</v>
      </c>
    </row>
    <row r="30" spans="2:34" ht="15" x14ac:dyDescent="0.25">
      <c r="B30" s="19" t="str">
        <f>Paramètre!$A38</f>
        <v>A24</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8">
        <f>COUNTA(Décembre[[#This Row],[1]:[31]])</f>
        <v>0</v>
      </c>
    </row>
    <row r="31" spans="2:34" ht="15" x14ac:dyDescent="0.25">
      <c r="B31" s="19" t="str">
        <f>Paramètre!$A39</f>
        <v>A25</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8">
        <f>COUNTA(Décembre[[#This Row],[1]:[31]])</f>
        <v>0</v>
      </c>
    </row>
    <row r="32" spans="2:34" ht="15" x14ac:dyDescent="0.25">
      <c r="B32" s="19" t="str">
        <f>Paramètre!$A40</f>
        <v>A26</v>
      </c>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8">
        <f>COUNTA(Décembre[[#This Row],[1]:[31]])</f>
        <v>0</v>
      </c>
    </row>
    <row r="33" spans="2:34" ht="15" x14ac:dyDescent="0.25">
      <c r="B33" s="19" t="str">
        <f>Paramètre!$A41</f>
        <v>A27</v>
      </c>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8">
        <f>COUNTA(Décembre[[#This Row],[1]:[31]])</f>
        <v>0</v>
      </c>
    </row>
    <row r="34" spans="2:34" ht="15" x14ac:dyDescent="0.25">
      <c r="B34" s="19" t="str">
        <f>Paramètre!$A42</f>
        <v>A28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8">
        <f>COUNTA(Décembre[[#This Row],[1]:[31]])</f>
        <v>0</v>
      </c>
    </row>
    <row r="35" spans="2:34" ht="15" x14ac:dyDescent="0.25">
      <c r="B35" s="19" t="str">
        <f>Paramètre!$A43</f>
        <v>A29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8">
        <f>COUNTA(Décembre[[#This Row],[1]:[31]])</f>
        <v>0</v>
      </c>
    </row>
    <row r="36" spans="2:34" ht="15" x14ac:dyDescent="0.25">
      <c r="B36" s="19" t="str">
        <f>Paramètre!$A44</f>
        <v>A30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8">
        <f>COUNTA(Décembre[[#This Row],[1]:[31]])</f>
        <v>0</v>
      </c>
    </row>
    <row r="37" spans="2:34" ht="30" customHeight="1" x14ac:dyDescent="0.25">
      <c r="B37" s="17" t="str">
        <f>NomMois&amp;" Total"</f>
        <v>Décembre Total</v>
      </c>
      <c r="C37" s="11">
        <f>SUBTOTAL(103,Décembre[1])</f>
        <v>0</v>
      </c>
      <c r="D37" s="11">
        <f>SUBTOTAL(103,Décembre[2])</f>
        <v>0</v>
      </c>
      <c r="E37" s="11">
        <f>SUBTOTAL(103,Décembre[3])</f>
        <v>0</v>
      </c>
      <c r="F37" s="11">
        <f>SUBTOTAL(103,Décembre[4])</f>
        <v>0</v>
      </c>
      <c r="G37" s="11">
        <f>SUBTOTAL(103,Décembre[5])</f>
        <v>0</v>
      </c>
      <c r="H37" s="11">
        <f>SUBTOTAL(103,Décembre[6])</f>
        <v>0</v>
      </c>
      <c r="I37" s="11">
        <f>SUBTOTAL(103,Décembre[7])</f>
        <v>0</v>
      </c>
      <c r="J37" s="11">
        <f>SUBTOTAL(103,Décembre[8])</f>
        <v>0</v>
      </c>
      <c r="K37" s="11">
        <f>SUBTOTAL(103,Décembre[9])</f>
        <v>0</v>
      </c>
      <c r="L37" s="11">
        <f>SUBTOTAL(103,Décembre[10])</f>
        <v>0</v>
      </c>
      <c r="M37" s="11">
        <f>SUBTOTAL(103,Décembre[11])</f>
        <v>0</v>
      </c>
      <c r="N37" s="11">
        <f>SUBTOTAL(103,Décembre[12])</f>
        <v>0</v>
      </c>
      <c r="O37" s="11">
        <f>SUBTOTAL(103,Décembre[13])</f>
        <v>0</v>
      </c>
      <c r="P37" s="11">
        <f>SUBTOTAL(103,Décembre[14])</f>
        <v>0</v>
      </c>
      <c r="Q37" s="11">
        <f>SUBTOTAL(103,Décembre[15])</f>
        <v>0</v>
      </c>
      <c r="R37" s="11">
        <f>SUBTOTAL(103,Décembre[16])</f>
        <v>0</v>
      </c>
      <c r="S37" s="11">
        <f>SUBTOTAL(103,Décembre[17])</f>
        <v>0</v>
      </c>
      <c r="T37" s="11">
        <f>SUBTOTAL(103,Décembre[18])</f>
        <v>0</v>
      </c>
      <c r="U37" s="11">
        <f>SUBTOTAL(103,Décembre[19])</f>
        <v>0</v>
      </c>
      <c r="V37" s="11">
        <f>SUBTOTAL(103,Décembre[20])</f>
        <v>0</v>
      </c>
      <c r="W37" s="11">
        <f>SUBTOTAL(103,Décembre[21])</f>
        <v>0</v>
      </c>
      <c r="X37" s="11">
        <f>SUBTOTAL(103,Décembre[22])</f>
        <v>0</v>
      </c>
      <c r="Y37" s="11">
        <f>SUBTOTAL(103,Décembre[23])</f>
        <v>0</v>
      </c>
      <c r="Z37" s="11">
        <f>SUBTOTAL(103,Décembre[24])</f>
        <v>0</v>
      </c>
      <c r="AA37" s="11">
        <f>SUBTOTAL(103,Décembre[25])</f>
        <v>0</v>
      </c>
      <c r="AB37" s="11">
        <f>SUBTOTAL(103,Décembre[26])</f>
        <v>0</v>
      </c>
      <c r="AC37" s="11">
        <f>SUBTOTAL(103,Décembre[27])</f>
        <v>0</v>
      </c>
      <c r="AD37" s="11">
        <f>SUBTOTAL(103,Décembre[28])</f>
        <v>0</v>
      </c>
      <c r="AE37" s="11">
        <f>SUBTOTAL(103,Décembre[29])</f>
        <v>0</v>
      </c>
      <c r="AF37" s="11">
        <f>SUBTOTAL(109,Décembre[30])</f>
        <v>0</v>
      </c>
      <c r="AG37" s="11">
        <f>SUBTOTAL(109,Décembre[31])</f>
        <v>0</v>
      </c>
      <c r="AH37" s="11">
        <f>SUBTOTAL(109,Décembre[Total des jours])</f>
        <v>0</v>
      </c>
    </row>
  </sheetData>
  <mergeCells count="7">
    <mergeCell ref="C4:AG4"/>
    <mergeCell ref="D2:E2"/>
    <mergeCell ref="G2:I2"/>
    <mergeCell ref="K2:L2"/>
    <mergeCell ref="N2:Q2"/>
    <mergeCell ref="S2:V2"/>
    <mergeCell ref="X2:AA2"/>
  </mergeCells>
  <conditionalFormatting sqref="AH7:AH36">
    <cfRule type="dataBar" priority="16">
      <dataBar>
        <cfvo type="min"/>
        <cfvo type="formula" val="DATEDIF(DATE(CalendarYear,2,1),DATE(CalendarYear,3,1),&quot;d&quot;)"/>
        <color theme="2" tint="-0.249977111117893"/>
      </dataBar>
      <extLst>
        <ext xmlns:x14="http://schemas.microsoft.com/office/spreadsheetml/2009/9/main" uri="{B025F937-C7B1-47D3-B67F-A62EFF666E3E}">
          <x14:id>{91E509E1-EB16-4C61-8086-1A23FD3A17A8}</x14:id>
        </ext>
      </extLst>
    </cfRule>
  </conditionalFormatting>
  <conditionalFormatting sqref="C7:AG36">
    <cfRule type="expression" priority="2" stopIfTrue="1">
      <formula>C7=""</formula>
    </cfRule>
    <cfRule type="expression" dxfId="75" priority="4" stopIfTrue="1">
      <formula>C7=CléPersonnalisée2</formula>
    </cfRule>
    <cfRule type="expression" dxfId="74" priority="5" stopIfTrue="1">
      <formula>C7=CléPersonnalisée1</formula>
    </cfRule>
    <cfRule type="expression" dxfId="73" priority="6" stopIfTrue="1">
      <formula>C7=CléMaladie</formula>
    </cfRule>
    <cfRule type="expression" dxfId="72" priority="7" stopIfTrue="1">
      <formula>C7=CléPersonnel</formula>
    </cfRule>
    <cfRule type="expression" dxfId="71" priority="8" stopIfTrue="1">
      <formula>C7=CléCongé</formula>
    </cfRule>
  </conditionalFormatting>
  <conditionalFormatting sqref="C7:AG36">
    <cfRule type="expression" dxfId="70" priority="3">
      <formula>C7=CléPersonnalisée3</formula>
    </cfRule>
  </conditionalFormatting>
  <conditionalFormatting sqref="C37:AG37">
    <cfRule type="cellIs" dxfId="69" priority="1" operator="greaterThan">
      <formula>2</formula>
    </cfRule>
  </conditionalFormatting>
  <dataValidations count="1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e décem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W2"/>
    <dataValidation allowBlank="1" showInputMessage="1" showErrorMessage="1" prompt="Entrez une étiquette pour décrire la clé personnalisée à gauche" sqref="N2 S2 X2"/>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type="list" allowBlank="1" showInputMessage="1" showErrorMessage="1" sqref="B7:B36">
      <formula1>#REF!</formula1>
    </dataValidation>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91E509E1-EB16-4C61-8086-1A23FD3A17A8}">
            <x14:dataBar minLength="0" maxLength="100">
              <x14:cfvo type="autoMin"/>
              <x14:cfvo type="formula">
                <xm:f>DATEDIF(DATE(CalendarYear,2,1),DATE(CalendarYear,3,1),"d")</xm:f>
              </x14:cfvo>
              <x14:negativeFillColor rgb="FFFF0000"/>
              <x14:axisColor rgb="FF000000"/>
            </x14:dataBar>
          </x14:cfRule>
          <xm:sqref>AH7:AH36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55</vt:i4>
      </vt:variant>
    </vt:vector>
  </HeadingPairs>
  <TitlesOfParts>
    <vt:vector size="70" baseType="lpstr">
      <vt:lpstr>Accueil</vt:lpstr>
      <vt:lpstr>Statistique</vt:lpstr>
      <vt:lpstr>Paramètre</vt:lpstr>
      <vt:lpstr>Janvier</vt:lpstr>
      <vt:lpstr>Février</vt:lpstr>
      <vt:lpstr>Mars</vt:lpstr>
      <vt:lpstr>Avril</vt:lpstr>
      <vt:lpstr>Mai</vt:lpstr>
      <vt:lpstr>Juin</vt:lpstr>
      <vt:lpstr>Juillet</vt:lpstr>
      <vt:lpstr>Août</vt:lpstr>
      <vt:lpstr>Septembre</vt:lpstr>
      <vt:lpstr>Octobre</vt:lpstr>
      <vt:lpstr>Novembre</vt:lpstr>
      <vt:lpstr>Décembre</vt:lpstr>
      <vt:lpstr>AnnéeCalendrier</vt:lpstr>
      <vt:lpstr>CléCongé</vt:lpstr>
      <vt:lpstr>CléMaladie</vt:lpstr>
      <vt:lpstr>CléPersonnalisée1</vt:lpstr>
      <vt:lpstr>CléPersonnalisée2</vt:lpstr>
      <vt:lpstr>CléPersonnalisée3</vt:lpstr>
      <vt:lpstr>CléPersonnel</vt:lpstr>
      <vt:lpstr>ÉtiquetteCléAutorisé</vt:lpstr>
      <vt:lpstr>ÉtiquetteCléCongé</vt:lpstr>
      <vt:lpstr>ÉtiquetteCléFormation</vt:lpstr>
      <vt:lpstr>ÉtiquetteCléIrrégulière</vt:lpstr>
      <vt:lpstr>ÉtiquetteCléMaladie</vt:lpstr>
      <vt:lpstr>ÉtiquetteCléPersonnalisée1</vt:lpstr>
      <vt:lpstr>ÉtiquetteCléPersonnalisée2</vt:lpstr>
      <vt:lpstr>ÉtiquetteCléPersonnel</vt:lpstr>
      <vt:lpstr>ÉtiquetteCléRécupération</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liste</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HASSANI MUSTAPHA</dc:creator>
  <cp:lastModifiedBy>HASSANI MUSTAPHA</cp:lastModifiedBy>
  <cp:lastPrinted>2019-04-04T08:25:09Z</cp:lastPrinted>
  <dcterms:created xsi:type="dcterms:W3CDTF">2016-12-06T04:52:27Z</dcterms:created>
  <dcterms:modified xsi:type="dcterms:W3CDTF">2019-04-10T21:20:14Z</dcterms:modified>
</cp:coreProperties>
</file>