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60" yWindow="4650" windowWidth="9540" windowHeight="6435" activeTab="4"/>
  </bookViews>
  <sheets>
    <sheet name="Récap" sheetId="1" r:id="rId1"/>
    <sheet name="Mai " sheetId="7" r:id="rId2"/>
    <sheet name="Juin" sheetId="8" r:id="rId3"/>
    <sheet name="Juillet" sheetId="9" r:id="rId4"/>
    <sheet name="Aout" sheetId="10" r:id="rId5"/>
    <sheet name="Septembre" sheetId="11" r:id="rId6"/>
    <sheet name="Octobre" sheetId="12" r:id="rId7"/>
    <sheet name="Novembre" sheetId="13" r:id="rId8"/>
    <sheet name="Décembre" sheetId="14" r:id="rId9"/>
    <sheet name="Janvier" sheetId="3" r:id="rId10"/>
    <sheet name="Février" sheetId="4" r:id="rId11"/>
    <sheet name="Mars" sheetId="5" r:id="rId12"/>
    <sheet name="Avril" sheetId="6" r:id="rId13"/>
    <sheet name="Total affaires" sheetId="15" r:id="rId14"/>
  </sheets>
  <definedNames>
    <definedName name="_xlnm._FilterDatabase" localSheetId="4" hidden="1">Aout!$A$4:$N$14</definedName>
    <definedName name="_xlnm._FilterDatabase" localSheetId="12" hidden="1">Avril!$A$4:$M$4</definedName>
    <definedName name="_xlnm._FilterDatabase" localSheetId="8" hidden="1">Décembre!$C$4:$N$15</definedName>
    <definedName name="_xlnm._FilterDatabase" localSheetId="10" hidden="1">Février!$A$4:$M$4</definedName>
    <definedName name="_xlnm._FilterDatabase" localSheetId="9" hidden="1">Janvier!$B$4:$N$4</definedName>
    <definedName name="_xlnm._FilterDatabase" localSheetId="3" hidden="1">Juillet!$A$4:$N$11</definedName>
    <definedName name="_xlnm._FilterDatabase" localSheetId="2" hidden="1">Juin!$A$4:$N$13</definedName>
    <definedName name="_xlnm._FilterDatabase" localSheetId="1" hidden="1">'Mai '!$A$4:$N$14</definedName>
    <definedName name="_xlnm._FilterDatabase" localSheetId="11" hidden="1">Mars!$A$4:$M$4</definedName>
    <definedName name="_xlnm._FilterDatabase" localSheetId="7" hidden="1">Novembre!$C$4:$N$20</definedName>
    <definedName name="_xlnm._FilterDatabase" localSheetId="6" hidden="1">Octobre!$A$4:$N$14</definedName>
    <definedName name="_xlnm._FilterDatabase" localSheetId="5" hidden="1">Septembre!$A$4:$N$11</definedName>
    <definedName name="_xlnm._FilterDatabase" localSheetId="13" hidden="1">'Total affaires'!$C$3:$N$61</definedName>
    <definedName name="_xlnm.Print_Area" localSheetId="0">Récap!$B$2:$V$19</definedName>
  </definedNames>
  <calcPr calcId="145621" concurrentCalc="0"/>
</workbook>
</file>

<file path=xl/calcChain.xml><?xml version="1.0" encoding="utf-8"?>
<calcChain xmlns="http://schemas.openxmlformats.org/spreadsheetml/2006/main">
  <c r="L5" i="4" l="1"/>
  <c r="I5" i="4"/>
  <c r="M7" i="3"/>
  <c r="M8" i="3"/>
  <c r="M9" i="3"/>
  <c r="M10" i="3"/>
  <c r="J8" i="3"/>
  <c r="M6" i="3"/>
  <c r="L61" i="15"/>
  <c r="L60" i="15"/>
  <c r="I60" i="15"/>
  <c r="L59" i="15"/>
  <c r="H59" i="15"/>
  <c r="L58" i="15"/>
  <c r="H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I31" i="15"/>
  <c r="H31" i="15"/>
  <c r="L30" i="15"/>
  <c r="L29" i="15"/>
  <c r="L28" i="15"/>
  <c r="L27" i="15"/>
  <c r="L26" i="15"/>
  <c r="L24" i="15"/>
  <c r="L23" i="15"/>
  <c r="L22" i="15"/>
  <c r="L21" i="15"/>
  <c r="L20" i="15"/>
  <c r="H20" i="15"/>
  <c r="L19" i="15"/>
  <c r="L18" i="15"/>
  <c r="L17" i="15"/>
  <c r="L16" i="15"/>
  <c r="L15" i="15"/>
  <c r="L14" i="15"/>
  <c r="I14" i="15"/>
  <c r="L13" i="15"/>
  <c r="L12" i="15"/>
  <c r="L11" i="15"/>
  <c r="L10" i="15"/>
  <c r="L9" i="15"/>
  <c r="L8" i="15"/>
  <c r="L7" i="15"/>
  <c r="L6" i="15"/>
  <c r="I6" i="15"/>
  <c r="L5" i="15"/>
  <c r="H5" i="15"/>
  <c r="L4" i="15"/>
  <c r="H4" i="15"/>
  <c r="L6" i="14"/>
  <c r="L7" i="14"/>
  <c r="L8" i="14"/>
  <c r="L5" i="14"/>
  <c r="L9" i="14"/>
  <c r="L12" i="14"/>
  <c r="L10" i="14"/>
  <c r="L11" i="14"/>
  <c r="L14" i="13"/>
  <c r="L15" i="13"/>
  <c r="L16" i="13"/>
  <c r="L5" i="13"/>
  <c r="L6" i="13"/>
  <c r="L7" i="13"/>
  <c r="L10" i="13"/>
  <c r="L11" i="13"/>
  <c r="L12" i="13"/>
  <c r="L13" i="13"/>
  <c r="L18" i="13"/>
  <c r="M11" i="1"/>
  <c r="L13" i="14"/>
  <c r="L14" i="14"/>
  <c r="L15" i="14"/>
  <c r="L11" i="1"/>
  <c r="K15" i="14"/>
  <c r="J15" i="14"/>
  <c r="G15" i="14"/>
  <c r="I12" i="14"/>
  <c r="H10" i="14"/>
  <c r="I15" i="14"/>
  <c r="H11" i="14"/>
  <c r="H15" i="14"/>
  <c r="S9" i="1"/>
  <c r="K20" i="13"/>
  <c r="J20" i="13"/>
  <c r="I20" i="13"/>
  <c r="H20" i="13"/>
  <c r="G20" i="13"/>
  <c r="L17" i="13"/>
  <c r="L8" i="13"/>
  <c r="L9" i="13"/>
  <c r="L5" i="12"/>
  <c r="L10" i="12"/>
  <c r="L9" i="12"/>
  <c r="L11" i="12"/>
  <c r="L8" i="12"/>
  <c r="L7" i="12"/>
  <c r="L12" i="12"/>
  <c r="L11" i="11"/>
  <c r="L10" i="11"/>
  <c r="L9" i="11"/>
  <c r="L8" i="11"/>
  <c r="L7" i="11"/>
  <c r="L5" i="11"/>
  <c r="H11" i="1"/>
  <c r="L7" i="10"/>
  <c r="L6" i="10"/>
  <c r="G11" i="1"/>
  <c r="L9" i="9"/>
  <c r="L8" i="9"/>
  <c r="L6" i="9"/>
  <c r="L5" i="9"/>
  <c r="L10" i="8"/>
  <c r="L9" i="8"/>
  <c r="L5" i="8"/>
  <c r="L7" i="7"/>
  <c r="L10" i="7"/>
  <c r="L9" i="7"/>
  <c r="L8" i="7"/>
  <c r="L6" i="7"/>
  <c r="L5" i="7"/>
  <c r="K14" i="12"/>
  <c r="J14" i="12"/>
  <c r="G14" i="12"/>
  <c r="E14" i="11"/>
  <c r="I5" i="12"/>
  <c r="I14" i="12"/>
  <c r="H5" i="12"/>
  <c r="H14" i="12"/>
  <c r="I11" i="9"/>
  <c r="K11" i="9"/>
  <c r="J11" i="9"/>
  <c r="H9" i="9"/>
  <c r="G11" i="9"/>
  <c r="I9" i="8"/>
  <c r="E11" i="9"/>
  <c r="L7" i="9"/>
  <c r="L10" i="9"/>
  <c r="J13" i="8"/>
  <c r="F18" i="1"/>
  <c r="U18" i="1"/>
  <c r="S18" i="1"/>
  <c r="L6" i="8"/>
  <c r="L7" i="8"/>
  <c r="L8" i="8"/>
  <c r="L11" i="8"/>
  <c r="O11" i="1"/>
  <c r="L11" i="3"/>
  <c r="K13" i="8"/>
  <c r="K14" i="7"/>
  <c r="F13" i="8"/>
  <c r="F10" i="1"/>
  <c r="H10" i="1"/>
  <c r="O10" i="1"/>
  <c r="F14" i="7"/>
  <c r="E10" i="1"/>
  <c r="I7" i="7"/>
  <c r="I14" i="7"/>
  <c r="E15" i="1"/>
  <c r="L11" i="7"/>
  <c r="L12" i="7"/>
  <c r="L13" i="7"/>
  <c r="V15" i="1"/>
  <c r="S15" i="1"/>
  <c r="H6" i="7"/>
  <c r="H14" i="7"/>
  <c r="E14" i="1"/>
  <c r="H5" i="7"/>
  <c r="L5" i="10"/>
  <c r="I9" i="1"/>
  <c r="L6" i="12"/>
  <c r="L13" i="4"/>
  <c r="K13" i="4"/>
  <c r="N11" i="1"/>
  <c r="Q11" i="1"/>
  <c r="J13" i="4"/>
  <c r="N18" i="1"/>
  <c r="Q18" i="1"/>
  <c r="H13" i="4"/>
  <c r="N14" i="1"/>
  <c r="Q14" i="1"/>
  <c r="I13" i="4"/>
  <c r="N15" i="1"/>
  <c r="G13" i="4"/>
  <c r="N13" i="1"/>
  <c r="F13" i="4"/>
  <c r="N10" i="1"/>
  <c r="Q10" i="1"/>
  <c r="E13" i="4"/>
  <c r="N9" i="1"/>
  <c r="K15" i="6"/>
  <c r="P11" i="1"/>
  <c r="J15" i="6"/>
  <c r="I15" i="6"/>
  <c r="G15" i="6"/>
  <c r="P13" i="1"/>
  <c r="P16" i="1"/>
  <c r="L14" i="11"/>
  <c r="I11" i="1"/>
  <c r="F14" i="5"/>
  <c r="L14" i="5"/>
  <c r="M11" i="3"/>
  <c r="L11" i="9"/>
  <c r="L19" i="13"/>
  <c r="L13" i="12"/>
  <c r="L13" i="10"/>
  <c r="L12" i="10"/>
  <c r="L11" i="10"/>
  <c r="L10" i="10"/>
  <c r="L9" i="10"/>
  <c r="L8" i="10"/>
  <c r="L12" i="8"/>
  <c r="L15" i="6"/>
  <c r="F15" i="6"/>
  <c r="P10" i="1"/>
  <c r="U16" i="1"/>
  <c r="V16" i="1"/>
  <c r="S16" i="1"/>
  <c r="S11" i="1"/>
  <c r="K14" i="11"/>
  <c r="H14" i="11"/>
  <c r="I14" i="1"/>
  <c r="G14" i="11"/>
  <c r="I13" i="1"/>
  <c r="J14" i="11"/>
  <c r="I18" i="1"/>
  <c r="V10" i="1"/>
  <c r="S10" i="1"/>
  <c r="F15" i="14"/>
  <c r="L10" i="1"/>
  <c r="F20" i="13"/>
  <c r="K10" i="1"/>
  <c r="F14" i="12"/>
  <c r="J10" i="1"/>
  <c r="F14" i="10"/>
  <c r="F11" i="9"/>
  <c r="G10" i="1"/>
  <c r="G11" i="3"/>
  <c r="M10" i="1"/>
  <c r="I14" i="11"/>
  <c r="I15" i="1"/>
  <c r="V9" i="1"/>
  <c r="V11" i="1"/>
  <c r="H11" i="9"/>
  <c r="G14" i="1"/>
  <c r="E15" i="14"/>
  <c r="L9" i="1"/>
  <c r="E20" i="13"/>
  <c r="K9" i="1"/>
  <c r="E14" i="12"/>
  <c r="J9" i="1"/>
  <c r="E14" i="10"/>
  <c r="H9" i="1"/>
  <c r="G9" i="1"/>
  <c r="E13" i="8"/>
  <c r="F9" i="1"/>
  <c r="E14" i="7"/>
  <c r="E9" i="1"/>
  <c r="E15" i="6"/>
  <c r="P9" i="1"/>
  <c r="E14" i="5"/>
  <c r="O9" i="1"/>
  <c r="F11" i="3"/>
  <c r="M9" i="1"/>
  <c r="G13" i="8"/>
  <c r="F13" i="1"/>
  <c r="I13" i="8"/>
  <c r="F15" i="1"/>
  <c r="H13" i="8"/>
  <c r="F14" i="1"/>
  <c r="J14" i="7"/>
  <c r="E18" i="1"/>
  <c r="G14" i="7"/>
  <c r="E13" i="1"/>
  <c r="L18" i="1"/>
  <c r="L15" i="1"/>
  <c r="L14" i="1"/>
  <c r="L13" i="1"/>
  <c r="K18" i="1"/>
  <c r="K15" i="1"/>
  <c r="K14" i="1"/>
  <c r="K13" i="1"/>
  <c r="J18" i="1"/>
  <c r="J15" i="1"/>
  <c r="J14" i="1"/>
  <c r="J13" i="1"/>
  <c r="K14" i="10"/>
  <c r="J14" i="10"/>
  <c r="H18" i="1"/>
  <c r="I14" i="10"/>
  <c r="H15" i="1"/>
  <c r="H14" i="10"/>
  <c r="H14" i="1"/>
  <c r="G14" i="10"/>
  <c r="H13" i="1"/>
  <c r="G18" i="1"/>
  <c r="G15" i="1"/>
  <c r="G13" i="1"/>
  <c r="P18" i="1"/>
  <c r="P15" i="1"/>
  <c r="H15" i="6"/>
  <c r="P14" i="1"/>
  <c r="K14" i="5"/>
  <c r="J14" i="5"/>
  <c r="O18" i="1"/>
  <c r="I14" i="5"/>
  <c r="O15" i="1"/>
  <c r="H14" i="5"/>
  <c r="O14" i="1"/>
  <c r="G14" i="5"/>
  <c r="O13" i="1"/>
  <c r="O16" i="1"/>
  <c r="I11" i="3"/>
  <c r="M14" i="1"/>
  <c r="J11" i="3"/>
  <c r="M15" i="1"/>
  <c r="K11" i="3"/>
  <c r="M18" i="1"/>
  <c r="H11" i="3"/>
  <c r="M13" i="1"/>
  <c r="V14" i="1"/>
  <c r="S14" i="1"/>
  <c r="V13" i="1"/>
  <c r="S13" i="1"/>
  <c r="F14" i="11"/>
  <c r="I10" i="1"/>
  <c r="L16" i="1"/>
  <c r="K16" i="1"/>
  <c r="L20" i="13"/>
  <c r="K11" i="1"/>
  <c r="L14" i="7"/>
  <c r="E11" i="1"/>
  <c r="E16" i="1"/>
  <c r="J16" i="1"/>
  <c r="L14" i="12"/>
  <c r="J11" i="1"/>
  <c r="I16" i="1"/>
  <c r="L14" i="10"/>
  <c r="H16" i="1"/>
  <c r="L13" i="8"/>
  <c r="F11" i="1"/>
  <c r="G16" i="1"/>
  <c r="F16" i="1"/>
  <c r="R14" i="1"/>
  <c r="T14" i="1"/>
  <c r="Q13" i="1"/>
  <c r="N16" i="1"/>
  <c r="R10" i="1"/>
  <c r="T10" i="1"/>
  <c r="R18" i="1"/>
  <c r="Q19" i="1"/>
  <c r="T18" i="1"/>
  <c r="R11" i="1"/>
  <c r="T11" i="1"/>
  <c r="Q9" i="1"/>
  <c r="R9" i="1"/>
  <c r="Q15" i="1"/>
  <c r="M16" i="1"/>
  <c r="T9" i="1"/>
  <c r="Q16" i="1"/>
  <c r="T16" i="1"/>
  <c r="R13" i="1"/>
  <c r="T13" i="1"/>
  <c r="T15" i="1"/>
  <c r="R15" i="1"/>
  <c r="R16" i="1"/>
</calcChain>
</file>

<file path=xl/sharedStrings.xml><?xml version="1.0" encoding="utf-8"?>
<sst xmlns="http://schemas.openxmlformats.org/spreadsheetml/2006/main" count="683" uniqueCount="124">
  <si>
    <t>Janvier</t>
  </si>
  <si>
    <t>Février</t>
  </si>
  <si>
    <t>Mars</t>
  </si>
  <si>
    <t>Avril</t>
  </si>
  <si>
    <t>Mai</t>
  </si>
  <si>
    <t>Juin</t>
  </si>
  <si>
    <t>Août</t>
  </si>
  <si>
    <t>Sept.</t>
  </si>
  <si>
    <t>Oct.</t>
  </si>
  <si>
    <t>Nov.</t>
  </si>
  <si>
    <t>Déc.</t>
  </si>
  <si>
    <t>Tonnage Atelier</t>
  </si>
  <si>
    <t>Mois :</t>
  </si>
  <si>
    <t>Juillet</t>
  </si>
  <si>
    <t>Chantier</t>
  </si>
  <si>
    <t>N° devis</t>
  </si>
  <si>
    <t>Heures BE</t>
  </si>
  <si>
    <t>Heures Atelier + Peinture</t>
  </si>
  <si>
    <t>Heures chantier</t>
  </si>
  <si>
    <t>Novembre</t>
  </si>
  <si>
    <t>Octobre</t>
  </si>
  <si>
    <t>Septembre</t>
  </si>
  <si>
    <t>Aout</t>
  </si>
  <si>
    <t>Totaux</t>
  </si>
  <si>
    <t>FG prévus</t>
  </si>
  <si>
    <t>Montant de l'affaire</t>
  </si>
  <si>
    <t>Chiffre d'affaires</t>
  </si>
  <si>
    <t>Poids à fabriquer en Kg</t>
  </si>
  <si>
    <t>Chantiers</t>
  </si>
  <si>
    <t>Avancements</t>
  </si>
  <si>
    <t>mois en commande</t>
  </si>
  <si>
    <t>Cibles</t>
  </si>
  <si>
    <t>Objectifs</t>
  </si>
  <si>
    <t>réels cumulés</t>
  </si>
  <si>
    <t>annuels</t>
  </si>
  <si>
    <t>mensuels</t>
  </si>
  <si>
    <t>Heures Atelier</t>
  </si>
  <si>
    <t>Heures Chantier</t>
  </si>
  <si>
    <t>Moyenne / mois =</t>
  </si>
  <si>
    <t>Ecarts</t>
  </si>
  <si>
    <t>Chiffre d'affaires ST</t>
  </si>
  <si>
    <t>Montant travaux ST en D.S.</t>
  </si>
  <si>
    <t>P</t>
  </si>
  <si>
    <t>F</t>
  </si>
  <si>
    <t>D1500726C</t>
  </si>
  <si>
    <t>D1600242B</t>
  </si>
  <si>
    <t>D1500652B</t>
  </si>
  <si>
    <t>D1500552D</t>
  </si>
  <si>
    <t>D1500790</t>
  </si>
  <si>
    <t>D1600363B</t>
  </si>
  <si>
    <t>Indicateur
PRODUCTION VENDUE exercice 2016 / 2017</t>
  </si>
  <si>
    <t>D1400785</t>
  </si>
  <si>
    <t>D1600449</t>
  </si>
  <si>
    <t>D1500622B</t>
  </si>
  <si>
    <t>x</t>
  </si>
  <si>
    <t>Frais généraux vendus</t>
  </si>
  <si>
    <t>D1600450</t>
  </si>
  <si>
    <t>D1600262B</t>
  </si>
  <si>
    <t>D1600307</t>
  </si>
  <si>
    <t>D1600521</t>
  </si>
  <si>
    <t>D1300408F</t>
  </si>
  <si>
    <t>D1600439D</t>
  </si>
  <si>
    <t>D1500846B</t>
  </si>
  <si>
    <t>D1500609E</t>
  </si>
  <si>
    <t>D1600282B</t>
  </si>
  <si>
    <t xml:space="preserve"> </t>
  </si>
  <si>
    <t>D1500811</t>
  </si>
  <si>
    <t>D1600130B</t>
  </si>
  <si>
    <t>D1600455B</t>
  </si>
  <si>
    <t>D1600623</t>
  </si>
  <si>
    <t>D1600642</t>
  </si>
  <si>
    <t>D1600542</t>
  </si>
  <si>
    <t>D1600550D</t>
  </si>
  <si>
    <t>D1600570C</t>
  </si>
  <si>
    <t>D1600714</t>
  </si>
  <si>
    <t>D1600680</t>
  </si>
  <si>
    <t>D1600677B</t>
  </si>
  <si>
    <t>D1500556C</t>
  </si>
  <si>
    <t>D1600146C</t>
  </si>
  <si>
    <t>D1600393</t>
  </si>
  <si>
    <t>D1600666C</t>
  </si>
  <si>
    <t>Commercial</t>
  </si>
  <si>
    <t>Damien</t>
  </si>
  <si>
    <t>Christian</t>
  </si>
  <si>
    <t>Anthony</t>
  </si>
  <si>
    <t>Public ou privé</t>
  </si>
  <si>
    <t>Public</t>
  </si>
  <si>
    <t>Privé</t>
  </si>
  <si>
    <t>Indice : E</t>
  </si>
  <si>
    <t>D1500610I</t>
  </si>
  <si>
    <t>D1600743</t>
  </si>
  <si>
    <t>FG 29%</t>
  </si>
  <si>
    <t>D1600585B</t>
  </si>
  <si>
    <t>D1600693</t>
  </si>
  <si>
    <t>D1600807</t>
  </si>
  <si>
    <t>D1600801</t>
  </si>
  <si>
    <t>D1600576B</t>
  </si>
  <si>
    <t>D1600613</t>
  </si>
  <si>
    <t>D1600769</t>
  </si>
  <si>
    <t>D1600489</t>
  </si>
  <si>
    <t>Devis AM</t>
  </si>
  <si>
    <t>D1600808B</t>
  </si>
  <si>
    <t>D1600572B</t>
  </si>
  <si>
    <t>D1600843</t>
  </si>
  <si>
    <t>D1600831B</t>
  </si>
  <si>
    <t>D1600787</t>
  </si>
  <si>
    <t>D1600763</t>
  </si>
  <si>
    <t>Mattin</t>
  </si>
  <si>
    <t>Benjamin</t>
  </si>
  <si>
    <t>D1600820</t>
  </si>
  <si>
    <t>D1600746C</t>
  </si>
  <si>
    <t>D1600157C</t>
  </si>
  <si>
    <t>D1600437B</t>
  </si>
  <si>
    <t>D1600882C</t>
  </si>
  <si>
    <t>D1600742B</t>
  </si>
  <si>
    <t>D1600876</t>
  </si>
  <si>
    <t>D1600871</t>
  </si>
  <si>
    <t>D1600606B</t>
  </si>
  <si>
    <t>D1700011B</t>
  </si>
  <si>
    <t>D1600918</t>
  </si>
  <si>
    <t>D1600710B</t>
  </si>
  <si>
    <t>D1600382i</t>
  </si>
  <si>
    <t>D1600397G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</si>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</sst>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  <numFmt numFmtId="166" formatCode="#,##0_ ;\-#,##0\ "/>
    <numFmt numFmtId="167" formatCode="_-* #,##0\ &quot;€&quot;_-;\-* #,##0\ &quot;€&quot;_-;_-* &quot;-&quot;??\ &quot;€&quot;_-;_-@_-"/>
    <numFmt numFmtId="168" formatCode="#,##0.00_ ;\-#,##0.00\ "/>
    <numFmt numFmtId="169" formatCode="[$-40C]d\-mmm\-yy;@"/>
    <numFmt numFmtId="170" formatCode="_-* #,##0.00\ [$€-40C]_-;\-* #,##0.00\ [$€-40C]_-;_-* &quot;-&quot;??\ [$€-40C]_-;_-@_-"/>
    <numFmt numFmtId="171" formatCode="[$-40C]mmm\-yy;@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0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2" xfId="0" applyBorder="1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/>
    </xf>
    <xf numFmtId="0" fontId="0" fillId="0" borderId="23" xfId="0" applyBorder="1"/>
    <xf numFmtId="0" fontId="0" fillId="0" borderId="24" xfId="0" applyBorder="1"/>
    <xf numFmtId="165" fontId="0" fillId="0" borderId="25" xfId="0" applyNumberFormat="1" applyBorder="1"/>
    <xf numFmtId="0" fontId="0" fillId="0" borderId="25" xfId="0" applyBorder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0" xfId="0" applyFont="1"/>
    <xf numFmtId="44" fontId="0" fillId="0" borderId="24" xfId="1" applyFont="1" applyBorder="1"/>
    <xf numFmtId="165" fontId="0" fillId="0" borderId="7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16" xfId="1" applyFont="1" applyBorder="1" applyAlignment="1">
      <alignment horizontal="center"/>
    </xf>
    <xf numFmtId="44" fontId="0" fillId="0" borderId="10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 vertical="center"/>
    </xf>
    <xf numFmtId="44" fontId="5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44" fontId="0" fillId="0" borderId="12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44" fontId="0" fillId="0" borderId="17" xfId="1" applyFont="1" applyBorder="1" applyAlignment="1">
      <alignment horizontal="center"/>
    </xf>
    <xf numFmtId="44" fontId="0" fillId="0" borderId="12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44" fontId="0" fillId="0" borderId="25" xfId="1" applyFont="1" applyBorder="1"/>
    <xf numFmtId="0" fontId="0" fillId="0" borderId="0" xfId="0" applyBorder="1"/>
    <xf numFmtId="0" fontId="3" fillId="0" borderId="0" xfId="0" applyFont="1" applyBorder="1"/>
    <xf numFmtId="0" fontId="0" fillId="0" borderId="0" xfId="0" applyBorder="1" applyAlignment="1"/>
    <xf numFmtId="44" fontId="5" fillId="0" borderId="32" xfId="1" applyFon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/>
    <xf numFmtId="44" fontId="5" fillId="0" borderId="1" xfId="1" applyFont="1" applyBorder="1" applyAlignment="1">
      <alignment horizontal="center" vertical="center" wrapText="1"/>
    </xf>
    <xf numFmtId="1" fontId="0" fillId="0" borderId="1" xfId="0" applyNumberFormat="1" applyBorder="1" applyAlignment="1">
      <alignment vertical="center"/>
    </xf>
    <xf numFmtId="0" fontId="0" fillId="0" borderId="1" xfId="0" applyBorder="1"/>
    <xf numFmtId="164" fontId="0" fillId="0" borderId="1" xfId="0" applyNumberFormat="1" applyBorder="1" applyAlignment="1">
      <alignment vertical="center"/>
    </xf>
    <xf numFmtId="44" fontId="5" fillId="0" borderId="2" xfId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vertical="center"/>
    </xf>
    <xf numFmtId="1" fontId="0" fillId="0" borderId="2" xfId="0" applyNumberFormat="1" applyBorder="1"/>
    <xf numFmtId="164" fontId="0" fillId="0" borderId="2" xfId="0" applyNumberFormat="1" applyBorder="1" applyAlignment="1">
      <alignment vertical="center"/>
    </xf>
    <xf numFmtId="44" fontId="5" fillId="0" borderId="37" xfId="1" applyFont="1" applyBorder="1" applyAlignment="1">
      <alignment horizontal="center" vertical="center" wrapText="1"/>
    </xf>
    <xf numFmtId="1" fontId="0" fillId="0" borderId="37" xfId="0" applyNumberFormat="1" applyBorder="1" applyAlignment="1">
      <alignment vertical="center"/>
    </xf>
    <xf numFmtId="164" fontId="0" fillId="0" borderId="37" xfId="0" applyNumberFormat="1" applyBorder="1" applyAlignment="1">
      <alignment vertical="center"/>
    </xf>
    <xf numFmtId="1" fontId="0" fillId="0" borderId="37" xfId="0" applyNumberFormat="1" applyBorder="1"/>
    <xf numFmtId="1" fontId="0" fillId="0" borderId="34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41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 wrapText="1"/>
    </xf>
    <xf numFmtId="0" fontId="0" fillId="0" borderId="44" xfId="0" applyBorder="1"/>
    <xf numFmtId="0" fontId="0" fillId="0" borderId="42" xfId="0" applyBorder="1"/>
    <xf numFmtId="167" fontId="5" fillId="0" borderId="4" xfId="0" applyNumberFormat="1" applyFont="1" applyBorder="1" applyAlignment="1">
      <alignment horizontal="center" vertical="center"/>
    </xf>
    <xf numFmtId="167" fontId="5" fillId="0" borderId="32" xfId="1" applyNumberFormat="1" applyFont="1" applyBorder="1" applyAlignment="1">
      <alignment horizontal="center" vertical="center"/>
    </xf>
    <xf numFmtId="167" fontId="5" fillId="0" borderId="1" xfId="1" applyNumberFormat="1" applyFont="1" applyBorder="1" applyAlignment="1">
      <alignment horizontal="center" vertical="center" wrapText="1"/>
    </xf>
    <xf numFmtId="167" fontId="5" fillId="0" borderId="2" xfId="1" applyNumberFormat="1" applyFont="1" applyFill="1" applyBorder="1" applyAlignment="1">
      <alignment horizontal="center" vertical="center" wrapText="1"/>
    </xf>
    <xf numFmtId="167" fontId="5" fillId="0" borderId="37" xfId="1" applyNumberFormat="1" applyFont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/>
    </xf>
    <xf numFmtId="5" fontId="5" fillId="0" borderId="37" xfId="0" applyNumberFormat="1" applyFont="1" applyBorder="1" applyAlignment="1">
      <alignment vertical="center"/>
    </xf>
    <xf numFmtId="44" fontId="5" fillId="0" borderId="37" xfId="0" applyNumberFormat="1" applyFont="1" applyBorder="1" applyAlignment="1">
      <alignment vertical="center"/>
    </xf>
    <xf numFmtId="166" fontId="5" fillId="0" borderId="37" xfId="0" applyNumberFormat="1" applyFont="1" applyBorder="1" applyAlignment="1">
      <alignment vertical="center"/>
    </xf>
    <xf numFmtId="0" fontId="1" fillId="0" borderId="43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165" fontId="0" fillId="0" borderId="24" xfId="1" applyNumberFormat="1" applyFont="1" applyBorder="1"/>
    <xf numFmtId="167" fontId="5" fillId="0" borderId="37" xfId="0" applyNumberFormat="1" applyFont="1" applyBorder="1" applyAlignment="1">
      <alignment vertical="center"/>
    </xf>
    <xf numFmtId="164" fontId="0" fillId="0" borderId="0" xfId="0" applyNumberFormat="1"/>
    <xf numFmtId="44" fontId="0" fillId="0" borderId="0" xfId="0" applyNumberFormat="1"/>
    <xf numFmtId="167" fontId="0" fillId="0" borderId="0" xfId="0" applyNumberFormat="1"/>
    <xf numFmtId="0" fontId="0" fillId="0" borderId="7" xfId="0" applyBorder="1" applyAlignment="1">
      <alignment horizontal="center" vertical="center" wrapText="1"/>
    </xf>
    <xf numFmtId="0" fontId="0" fillId="0" borderId="22" xfId="0" applyFill="1" applyBorder="1"/>
    <xf numFmtId="0" fontId="0" fillId="0" borderId="20" xfId="0" applyFill="1" applyBorder="1" applyAlignment="1">
      <alignment vertical="center" wrapText="1"/>
    </xf>
    <xf numFmtId="0" fontId="0" fillId="0" borderId="20" xfId="0" applyFill="1" applyBorder="1"/>
    <xf numFmtId="170" fontId="0" fillId="0" borderId="13" xfId="0" applyNumberFormat="1" applyBorder="1" applyAlignment="1">
      <alignment horizontal="center"/>
    </xf>
    <xf numFmtId="170" fontId="0" fillId="0" borderId="17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170" fontId="0" fillId="0" borderId="25" xfId="0" applyNumberFormat="1" applyBorder="1"/>
    <xf numFmtId="165" fontId="0" fillId="0" borderId="10" xfId="0" applyNumberFormat="1" applyFill="1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vertical="center" wrapText="1"/>
    </xf>
    <xf numFmtId="0" fontId="0" fillId="0" borderId="20" xfId="0" applyBorder="1" applyAlignment="1"/>
    <xf numFmtId="44" fontId="0" fillId="0" borderId="12" xfId="1" applyNumberFormat="1" applyFont="1" applyBorder="1" applyAlignment="1">
      <alignment horizontal="center"/>
    </xf>
    <xf numFmtId="44" fontId="0" fillId="0" borderId="13" xfId="1" applyNumberFormat="1" applyFont="1" applyBorder="1" applyAlignment="1">
      <alignment horizontal="center"/>
    </xf>
    <xf numFmtId="44" fontId="0" fillId="0" borderId="17" xfId="0" applyNumberFormat="1" applyBorder="1" applyAlignment="1">
      <alignment horizontal="center"/>
    </xf>
    <xf numFmtId="44" fontId="0" fillId="0" borderId="25" xfId="0" applyNumberFormat="1" applyBorder="1"/>
    <xf numFmtId="44" fontId="0" fillId="0" borderId="13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170" fontId="0" fillId="0" borderId="10" xfId="1" applyNumberFormat="1" applyFont="1" applyBorder="1" applyAlignment="1">
      <alignment horizontal="center"/>
    </xf>
    <xf numFmtId="170" fontId="0" fillId="0" borderId="7" xfId="1" applyNumberFormat="1" applyFont="1" applyBorder="1" applyAlignment="1">
      <alignment horizontal="center"/>
    </xf>
    <xf numFmtId="170" fontId="0" fillId="0" borderId="16" xfId="1" applyNumberFormat="1" applyFont="1" applyBorder="1" applyAlignment="1">
      <alignment horizontal="center"/>
    </xf>
    <xf numFmtId="170" fontId="0" fillId="0" borderId="5" xfId="1" applyNumberFormat="1" applyFont="1" applyBorder="1" applyAlignment="1">
      <alignment horizontal="center"/>
    </xf>
    <xf numFmtId="170" fontId="0" fillId="0" borderId="27" xfId="1" applyNumberFormat="1" applyFont="1" applyBorder="1" applyAlignment="1">
      <alignment horizontal="center"/>
    </xf>
    <xf numFmtId="170" fontId="0" fillId="0" borderId="26" xfId="0" applyNumberFormat="1" applyBorder="1" applyAlignment="1">
      <alignment horizontal="center"/>
    </xf>
    <xf numFmtId="170" fontId="0" fillId="0" borderId="47" xfId="1" applyNumberFormat="1" applyFont="1" applyBorder="1" applyAlignment="1">
      <alignment horizontal="center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170" fontId="0" fillId="0" borderId="48" xfId="1" applyNumberFormat="1" applyFont="1" applyBorder="1" applyAlignment="1">
      <alignment horizontal="center"/>
    </xf>
    <xf numFmtId="170" fontId="0" fillId="0" borderId="24" xfId="0" applyNumberFormat="1" applyBorder="1"/>
    <xf numFmtId="44" fontId="0" fillId="0" borderId="48" xfId="0" applyNumberFormat="1" applyBorder="1"/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44" fontId="0" fillId="0" borderId="36" xfId="0" applyNumberFormat="1" applyBorder="1"/>
    <xf numFmtId="0" fontId="0" fillId="0" borderId="5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0" fillId="0" borderId="15" xfId="1" applyFont="1" applyBorder="1"/>
    <xf numFmtId="0" fontId="0" fillId="0" borderId="15" xfId="0" applyBorder="1"/>
    <xf numFmtId="44" fontId="0" fillId="0" borderId="39" xfId="0" applyNumberFormat="1" applyBorder="1" applyAlignment="1">
      <alignment horizontal="center"/>
    </xf>
    <xf numFmtId="0" fontId="0" fillId="0" borderId="1" xfId="0" applyBorder="1" applyAlignment="1">
      <alignment horizontal="right" vertical="center"/>
    </xf>
    <xf numFmtId="1" fontId="0" fillId="0" borderId="2" xfId="0" applyNumberFormat="1" applyBorder="1" applyAlignment="1">
      <alignment horizontal="right" vertical="center"/>
    </xf>
    <xf numFmtId="1" fontId="0" fillId="0" borderId="37" xfId="0" applyNumberFormat="1" applyBorder="1" applyAlignment="1">
      <alignment horizontal="right" vertical="center"/>
    </xf>
    <xf numFmtId="44" fontId="0" fillId="0" borderId="33" xfId="0" applyNumberFormat="1" applyBorder="1" applyAlignment="1">
      <alignment horizontal="center" vertical="center"/>
    </xf>
    <xf numFmtId="44" fontId="0" fillId="0" borderId="36" xfId="0" applyNumberFormat="1" applyBorder="1" applyAlignment="1">
      <alignment horizontal="center" vertical="center"/>
    </xf>
    <xf numFmtId="0" fontId="0" fillId="0" borderId="20" xfId="0" applyBorder="1" applyAlignment="1">
      <alignment horizontal="center" wrapText="1"/>
    </xf>
    <xf numFmtId="0" fontId="0" fillId="0" borderId="20" xfId="0" applyFill="1" applyBorder="1" applyAlignment="1">
      <alignment horizontal="left" vertical="center" wrapText="1"/>
    </xf>
    <xf numFmtId="0" fontId="0" fillId="0" borderId="47" xfId="0" applyBorder="1"/>
    <xf numFmtId="0" fontId="0" fillId="0" borderId="48" xfId="0" applyBorder="1"/>
    <xf numFmtId="0" fontId="0" fillId="0" borderId="49" xfId="0" applyFill="1" applyBorder="1" applyAlignment="1">
      <alignment horizontal="center" vertical="center" wrapText="1"/>
    </xf>
    <xf numFmtId="166" fontId="5" fillId="2" borderId="37" xfId="0" applyNumberFormat="1" applyFont="1" applyFill="1" applyBorder="1" applyAlignment="1">
      <alignment horizontal="right" vertical="center"/>
    </xf>
    <xf numFmtId="44" fontId="0" fillId="0" borderId="19" xfId="0" applyNumberFormat="1" applyBorder="1" applyAlignment="1">
      <alignment horizontal="center"/>
    </xf>
    <xf numFmtId="44" fontId="0" fillId="0" borderId="5" xfId="1" applyNumberFormat="1" applyFont="1" applyBorder="1" applyAlignment="1">
      <alignment horizontal="center"/>
    </xf>
    <xf numFmtId="44" fontId="0" fillId="0" borderId="5" xfId="1" applyNumberFormat="1" applyFont="1" applyBorder="1" applyAlignment="1">
      <alignment horizontal="center" vertical="center"/>
    </xf>
    <xf numFmtId="44" fontId="0" fillId="0" borderId="49" xfId="0" applyNumberFormat="1" applyBorder="1"/>
    <xf numFmtId="0" fontId="0" fillId="0" borderId="52" xfId="0" applyBorder="1"/>
    <xf numFmtId="165" fontId="0" fillId="0" borderId="49" xfId="0" applyNumberFormat="1" applyBorder="1"/>
    <xf numFmtId="0" fontId="0" fillId="0" borderId="47" xfId="0" applyBorder="1" applyAlignment="1">
      <alignment vertical="center"/>
    </xf>
    <xf numFmtId="170" fontId="9" fillId="0" borderId="13" xfId="0" applyNumberFormat="1" applyFont="1" applyBorder="1" applyAlignment="1">
      <alignment horizontal="center"/>
    </xf>
    <xf numFmtId="170" fontId="0" fillId="0" borderId="13" xfId="0" applyNumberFormat="1" applyBorder="1" applyAlignment="1">
      <alignment horizontal="center" vertical="center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left"/>
    </xf>
    <xf numFmtId="44" fontId="0" fillId="0" borderId="26" xfId="1" applyNumberFormat="1" applyFont="1" applyBorder="1" applyAlignment="1">
      <alignment horizontal="center" vertical="center"/>
    </xf>
    <xf numFmtId="0" fontId="0" fillId="0" borderId="48" xfId="0" applyBorder="1" applyAlignment="1">
      <alignment vertical="center"/>
    </xf>
    <xf numFmtId="44" fontId="0" fillId="0" borderId="17" xfId="1" applyNumberFormat="1" applyFont="1" applyBorder="1" applyAlignment="1">
      <alignment horizontal="center"/>
    </xf>
    <xf numFmtId="170" fontId="0" fillId="0" borderId="17" xfId="0" applyNumberFormat="1" applyBorder="1" applyAlignment="1">
      <alignment horizontal="center" vertical="center"/>
    </xf>
    <xf numFmtId="44" fontId="0" fillId="0" borderId="17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0" fillId="0" borderId="22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0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44" fontId="0" fillId="0" borderId="13" xfId="1" applyNumberFormat="1" applyFont="1" applyBorder="1" applyAlignment="1">
      <alignment horizontal="right"/>
    </xf>
    <xf numFmtId="0" fontId="0" fillId="0" borderId="40" xfId="0" applyFont="1" applyBorder="1" applyAlignment="1">
      <alignment horizontal="right" vertical="center"/>
    </xf>
    <xf numFmtId="0" fontId="0" fillId="0" borderId="46" xfId="0" applyFont="1" applyBorder="1" applyAlignment="1">
      <alignment horizontal="right" vertical="center"/>
    </xf>
    <xf numFmtId="0" fontId="8" fillId="0" borderId="2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9" fontId="0" fillId="0" borderId="19" xfId="0" applyNumberFormat="1" applyBorder="1" applyAlignment="1">
      <alignment horizontal="center" vertical="center" wrapText="1"/>
    </xf>
    <xf numFmtId="169" fontId="0" fillId="0" borderId="39" xfId="0" applyNumberFormat="1" applyBorder="1" applyAlignment="1">
      <alignment horizontal="center" vertical="center" wrapText="1"/>
    </xf>
    <xf numFmtId="169" fontId="0" fillId="0" borderId="0" xfId="0" applyNumberFormat="1" applyBorder="1" applyAlignment="1">
      <alignment horizontal="center" vertical="center" wrapText="1"/>
    </xf>
    <xf numFmtId="169" fontId="0" fillId="0" borderId="33" xfId="0" applyNumberForma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4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34" xfId="0" applyFont="1" applyBorder="1" applyAlignment="1">
      <alignment horizontal="right" vertical="center"/>
    </xf>
    <xf numFmtId="0" fontId="1" fillId="0" borderId="35" xfId="0" applyFont="1" applyBorder="1" applyAlignment="1">
      <alignment horizontal="right" vertical="center"/>
    </xf>
    <xf numFmtId="0" fontId="1" fillId="0" borderId="42" xfId="0" applyFont="1" applyBorder="1" applyAlignment="1">
      <alignment horizontal="right" vertical="center"/>
    </xf>
    <xf numFmtId="0" fontId="1" fillId="0" borderId="3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1" fillId="0" borderId="32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4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71" fontId="0" fillId="0" borderId="52" xfId="0" applyNumberFormat="1" applyBorder="1" applyAlignment="1">
      <alignment horizontal="left" vertical="top"/>
    </xf>
    <xf numFmtId="171" fontId="0" fillId="0" borderId="47" xfId="0" applyNumberFormat="1" applyBorder="1" applyAlignment="1">
      <alignment horizontal="left" vertical="top"/>
    </xf>
    <xf numFmtId="171" fontId="0" fillId="0" borderId="48" xfId="0" applyNumberFormat="1" applyBorder="1" applyAlignment="1">
      <alignment horizontal="left" vertical="top"/>
    </xf>
    <xf numFmtId="17" fontId="0" fillId="0" borderId="52" xfId="0" applyNumberFormat="1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48" xfId="0" applyBorder="1" applyAlignment="1">
      <alignment horizontal="left" vertical="top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19"/>
  <sheetViews>
    <sheetView zoomScale="70" zoomScaleNormal="70" workbookViewId="0">
      <pane xSplit="4" ySplit="8" topLeftCell="E9" activePane="bottomRight" state="frozen"/>
      <selection pane="topRight" activeCell="D1" sqref="D1"/>
      <selection pane="bottomLeft" activeCell="A7" sqref="A7"/>
      <selection pane="bottomRight" activeCell="L28" sqref="L28"/>
    </sheetView>
  </sheetViews>
  <sheetFormatPr baseColWidth="10" defaultRowHeight="15" x14ac:dyDescent="0.25"/>
  <cols>
    <col min="1" max="1" width="7" customWidth="1"/>
    <col min="2" max="3" width="8.7109375" customWidth="1"/>
    <col min="4" max="4" width="8" style="62" customWidth="1"/>
    <col min="5" max="16" width="15.7109375" customWidth="1"/>
    <col min="17" max="17" width="16.140625" customWidth="1"/>
    <col min="18" max="18" width="12.85546875" customWidth="1"/>
    <col min="19" max="19" width="14.7109375" customWidth="1"/>
    <col min="20" max="20" width="13.140625" customWidth="1"/>
    <col min="21" max="21" width="15.28515625" customWidth="1"/>
    <col min="22" max="22" width="15" customWidth="1"/>
  </cols>
  <sheetData>
    <row r="1" spans="1:22" ht="30" customHeight="1" thickBot="1" x14ac:dyDescent="0.3"/>
    <row r="2" spans="1:22" ht="12.95" customHeight="1" x14ac:dyDescent="0.25">
      <c r="B2" s="64"/>
      <c r="C2" s="64"/>
      <c r="D2" s="64"/>
      <c r="E2" s="193" t="s">
        <v>50</v>
      </c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5"/>
      <c r="Q2" s="202" t="s">
        <v>88</v>
      </c>
      <c r="R2" s="203"/>
      <c r="S2" s="206">
        <v>42663</v>
      </c>
      <c r="T2" s="206"/>
      <c r="U2" s="206"/>
      <c r="V2" s="207"/>
    </row>
    <row r="3" spans="1:22" ht="12.95" customHeight="1" thickBot="1" x14ac:dyDescent="0.3">
      <c r="B3" s="64"/>
      <c r="C3" s="64"/>
      <c r="D3" s="64"/>
      <c r="E3" s="196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8"/>
      <c r="Q3" s="204"/>
      <c r="R3" s="205"/>
      <c r="S3" s="208"/>
      <c r="T3" s="208"/>
      <c r="U3" s="208"/>
      <c r="V3" s="209"/>
    </row>
    <row r="4" spans="1:22" ht="12.95" customHeight="1" x14ac:dyDescent="0.25">
      <c r="B4" s="64"/>
      <c r="C4" s="64"/>
      <c r="D4" s="64"/>
      <c r="E4" s="196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8"/>
      <c r="Q4" s="202" t="s">
        <v>12</v>
      </c>
      <c r="R4" s="203"/>
      <c r="S4" s="210">
        <v>9</v>
      </c>
      <c r="T4" s="211"/>
      <c r="U4" s="210"/>
      <c r="V4" s="211"/>
    </row>
    <row r="5" spans="1:22" ht="12.95" customHeight="1" thickBot="1" x14ac:dyDescent="0.3">
      <c r="B5" s="64"/>
      <c r="C5" s="64"/>
      <c r="D5" s="64"/>
      <c r="E5" s="196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8"/>
      <c r="Q5" s="204"/>
      <c r="R5" s="205"/>
      <c r="S5" s="212"/>
      <c r="T5" s="213"/>
      <c r="U5" s="212"/>
      <c r="V5" s="213"/>
    </row>
    <row r="6" spans="1:22" ht="12.95" customHeight="1" x14ac:dyDescent="0.25">
      <c r="B6" s="64"/>
      <c r="C6" s="64"/>
      <c r="D6" s="64"/>
      <c r="E6" s="196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8"/>
      <c r="Q6" s="187" t="s">
        <v>29</v>
      </c>
      <c r="R6" s="188"/>
      <c r="S6" s="188"/>
      <c r="T6" s="189"/>
      <c r="U6" s="187" t="s">
        <v>32</v>
      </c>
      <c r="V6" s="189"/>
    </row>
    <row r="7" spans="1:22" ht="12.95" customHeight="1" thickBot="1" x14ac:dyDescent="0.3">
      <c r="A7" s="62"/>
      <c r="B7" s="11"/>
      <c r="C7" s="11"/>
      <c r="D7" s="11"/>
      <c r="E7" s="199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1"/>
      <c r="Q7" s="190"/>
      <c r="R7" s="191"/>
      <c r="S7" s="191"/>
      <c r="T7" s="192"/>
      <c r="U7" s="190"/>
      <c r="V7" s="192"/>
    </row>
    <row r="8" spans="1:22" ht="41.25" customHeight="1" x14ac:dyDescent="0.25">
      <c r="A8" s="62"/>
      <c r="B8" s="214"/>
      <c r="C8" s="215"/>
      <c r="D8" s="216"/>
      <c r="E8" s="84" t="s">
        <v>4</v>
      </c>
      <c r="F8" s="84" t="s">
        <v>5</v>
      </c>
      <c r="G8" s="84" t="s">
        <v>13</v>
      </c>
      <c r="H8" s="84" t="s">
        <v>6</v>
      </c>
      <c r="I8" s="84" t="s">
        <v>7</v>
      </c>
      <c r="J8" s="84" t="s">
        <v>8</v>
      </c>
      <c r="K8" s="84" t="s">
        <v>9</v>
      </c>
      <c r="L8" s="84" t="s">
        <v>10</v>
      </c>
      <c r="M8" s="84" t="s">
        <v>0</v>
      </c>
      <c r="N8" s="84" t="s">
        <v>1</v>
      </c>
      <c r="O8" s="84" t="s">
        <v>2</v>
      </c>
      <c r="P8" s="84" t="s">
        <v>3</v>
      </c>
      <c r="Q8" s="85" t="s">
        <v>33</v>
      </c>
      <c r="R8" s="86" t="s">
        <v>30</v>
      </c>
      <c r="S8" s="86" t="s">
        <v>31</v>
      </c>
      <c r="T8" s="102" t="s">
        <v>39</v>
      </c>
      <c r="U8" s="90" t="s">
        <v>34</v>
      </c>
      <c r="V8" s="87" t="s">
        <v>35</v>
      </c>
    </row>
    <row r="9" spans="1:22" s="42" customFormat="1" ht="30.75" customHeight="1" x14ac:dyDescent="0.3">
      <c r="A9" s="63"/>
      <c r="B9" s="217" t="s">
        <v>26</v>
      </c>
      <c r="C9" s="218"/>
      <c r="D9" s="219"/>
      <c r="E9" s="93">
        <f>'Mai '!E14</f>
        <v>506429</v>
      </c>
      <c r="F9" s="93">
        <f>Juin!E13</f>
        <v>92577.1</v>
      </c>
      <c r="G9" s="93">
        <f>Juillet!E11</f>
        <v>814599</v>
      </c>
      <c r="H9" s="93">
        <f>Aout!E14</f>
        <v>51363</v>
      </c>
      <c r="I9" s="93">
        <f>Septembre!E14</f>
        <v>135999</v>
      </c>
      <c r="J9" s="93">
        <f>Octobre!E14</f>
        <v>451539.6</v>
      </c>
      <c r="K9" s="93">
        <f>Novembre!E20</f>
        <v>122801.79999999999</v>
      </c>
      <c r="L9" s="93">
        <f>Décembre!E15</f>
        <v>390581</v>
      </c>
      <c r="M9" s="93">
        <f>Janvier!F11</f>
        <v>316324</v>
      </c>
      <c r="N9" s="93">
        <f>Février!E13</f>
        <v>42748</v>
      </c>
      <c r="O9" s="93">
        <f>Mars!E14</f>
        <v>0</v>
      </c>
      <c r="P9" s="93">
        <f>Avril!E15</f>
        <v>0</v>
      </c>
      <c r="Q9" s="94">
        <f>SUM(E9:P9)</f>
        <v>2924961.5</v>
      </c>
      <c r="R9" s="98">
        <f>Q9/U9*12</f>
        <v>7.977167727272727</v>
      </c>
      <c r="S9" s="95">
        <f>V9*S4</f>
        <v>3300000</v>
      </c>
      <c r="T9" s="105">
        <f>Q9-S9</f>
        <v>-375038.5</v>
      </c>
      <c r="U9" s="96">
        <v>4400000</v>
      </c>
      <c r="V9" s="97">
        <f>U9/12</f>
        <v>366666.66666666669</v>
      </c>
    </row>
    <row r="10" spans="1:22" s="42" customFormat="1" ht="30.75" customHeight="1" x14ac:dyDescent="0.3">
      <c r="A10" s="63"/>
      <c r="B10" s="217" t="s">
        <v>40</v>
      </c>
      <c r="C10" s="218"/>
      <c r="D10" s="219"/>
      <c r="E10" s="93">
        <f>'Mai '!F14</f>
        <v>99186</v>
      </c>
      <c r="F10" s="93">
        <f>Juin!F13</f>
        <v>4445</v>
      </c>
      <c r="G10" s="93">
        <f>Juillet!F11</f>
        <v>145575</v>
      </c>
      <c r="H10" s="93">
        <f>Aout!F15</f>
        <v>0</v>
      </c>
      <c r="I10" s="93">
        <f>Septembre!F14</f>
        <v>19984</v>
      </c>
      <c r="J10" s="93">
        <f>Octobre!F14</f>
        <v>120283</v>
      </c>
      <c r="K10" s="93">
        <f>Novembre!F20</f>
        <v>22640</v>
      </c>
      <c r="L10" s="93">
        <f>Décembre!F15</f>
        <v>76309</v>
      </c>
      <c r="M10" s="93">
        <f>Janvier!G11</f>
        <v>98885</v>
      </c>
      <c r="N10" s="93">
        <f>Février!F13</f>
        <v>9690</v>
      </c>
      <c r="O10" s="93">
        <f>Mars!F14</f>
        <v>0</v>
      </c>
      <c r="P10" s="93">
        <f>Avril!F15</f>
        <v>0</v>
      </c>
      <c r="Q10" s="94">
        <f>SUM(E10:P10)</f>
        <v>596997</v>
      </c>
      <c r="R10" s="98">
        <f>Q10/U10*12</f>
        <v>10.176085227272727</v>
      </c>
      <c r="S10" s="95">
        <f>V10*S4</f>
        <v>528000</v>
      </c>
      <c r="T10" s="105">
        <f>Q10-S10</f>
        <v>68997</v>
      </c>
      <c r="U10" s="96">
        <v>704000</v>
      </c>
      <c r="V10" s="97">
        <f>U10/12</f>
        <v>58666.666666666664</v>
      </c>
    </row>
    <row r="11" spans="1:22" ht="30" customHeight="1" x14ac:dyDescent="0.25">
      <c r="B11" s="217" t="s">
        <v>55</v>
      </c>
      <c r="C11" s="218"/>
      <c r="D11" s="219"/>
      <c r="E11" s="2">
        <f>'Mai '!L14</f>
        <v>124179.6756</v>
      </c>
      <c r="F11" s="2">
        <f>Juin!L13</f>
        <v>29889.791000000001</v>
      </c>
      <c r="G11" s="2">
        <f>Juillet!L11</f>
        <v>224996.85300000006</v>
      </c>
      <c r="H11" s="2">
        <f>Aout!L14</f>
        <v>14467.476000000001</v>
      </c>
      <c r="I11" s="2">
        <f>Septembre!L14</f>
        <v>39184.112000000001</v>
      </c>
      <c r="J11" s="2">
        <f>Octobre!L14</f>
        <v>108206.78939999999</v>
      </c>
      <c r="K11" s="2">
        <f>Novembre!L20</f>
        <v>34055.01200000001</v>
      </c>
      <c r="L11" s="2">
        <f>Décembre!L15</f>
        <v>106852.48000000001</v>
      </c>
      <c r="M11" s="2">
        <f>Janvier!M11</f>
        <v>2252</v>
      </c>
      <c r="N11" s="2">
        <f>Février!K13</f>
        <v>9587</v>
      </c>
      <c r="O11" s="2">
        <f>Mars!K14</f>
        <v>0</v>
      </c>
      <c r="P11" s="2">
        <f>Avril!K15</f>
        <v>0</v>
      </c>
      <c r="Q11" s="68">
        <f>SUM(E11:P11)</f>
        <v>693671.18900000001</v>
      </c>
      <c r="R11" s="4">
        <f>Q11/U11*12</f>
        <v>6.6117971579942338</v>
      </c>
      <c r="S11" s="74">
        <f>S4*V11</f>
        <v>944227.5</v>
      </c>
      <c r="T11" s="99">
        <f t="shared" ref="T11:T18" si="0">Q11-S11</f>
        <v>-250556.31099999999</v>
      </c>
      <c r="U11" s="78">
        <v>1258970</v>
      </c>
      <c r="V11" s="81">
        <f>U11/12</f>
        <v>104914.16666666667</v>
      </c>
    </row>
    <row r="12" spans="1:22" s="42" customFormat="1" ht="19.5" customHeight="1" x14ac:dyDescent="0.3">
      <c r="A12" s="63"/>
      <c r="B12" s="88"/>
      <c r="C12" s="54"/>
      <c r="D12" s="89"/>
      <c r="E12" s="53"/>
      <c r="F12" s="53"/>
      <c r="G12" s="53"/>
      <c r="H12" s="52"/>
      <c r="I12" s="53"/>
      <c r="J12" s="52"/>
      <c r="K12" s="53"/>
      <c r="L12" s="52"/>
      <c r="M12" s="53"/>
      <c r="N12" s="52"/>
      <c r="O12" s="53"/>
      <c r="P12" s="53"/>
      <c r="Q12" s="65"/>
      <c r="R12" s="4"/>
      <c r="S12" s="71"/>
      <c r="T12" s="100"/>
      <c r="U12" s="75"/>
      <c r="V12" s="79"/>
    </row>
    <row r="13" spans="1:22" ht="30" customHeight="1" x14ac:dyDescent="0.25">
      <c r="B13" s="223" t="s">
        <v>16</v>
      </c>
      <c r="C13" s="224"/>
      <c r="D13" s="225"/>
      <c r="E13" s="3">
        <f>'Mai '!G14</f>
        <v>460</v>
      </c>
      <c r="F13" s="3">
        <f>Juin!G13</f>
        <v>242</v>
      </c>
      <c r="G13" s="3">
        <f>Juillet!G11</f>
        <v>532</v>
      </c>
      <c r="H13" s="3">
        <f>Aout!G14</f>
        <v>16</v>
      </c>
      <c r="I13" s="3">
        <f>Septembre!G14</f>
        <v>176</v>
      </c>
      <c r="J13" s="3">
        <f>Octobre!G14</f>
        <v>678</v>
      </c>
      <c r="K13" s="3">
        <f>Novembre!G20</f>
        <v>260</v>
      </c>
      <c r="L13" s="3">
        <f>Décembre!G15</f>
        <v>466</v>
      </c>
      <c r="M13" s="3">
        <f>Janvier!H11</f>
        <v>228</v>
      </c>
      <c r="N13" s="3">
        <f>Février!G13</f>
        <v>40</v>
      </c>
      <c r="O13" s="3">
        <f>Mars!G14</f>
        <v>0</v>
      </c>
      <c r="P13" s="3">
        <f>Avril!G15</f>
        <v>0</v>
      </c>
      <c r="Q13" s="66">
        <f>SUM(E13:P13)</f>
        <v>3098</v>
      </c>
      <c r="R13" s="4">
        <f>Q13/U13*12</f>
        <v>6.481171548117155</v>
      </c>
      <c r="S13" s="72">
        <f>S4*V13</f>
        <v>4302</v>
      </c>
      <c r="T13" s="101">
        <f t="shared" si="0"/>
        <v>-1204</v>
      </c>
      <c r="U13" s="76">
        <v>5736</v>
      </c>
      <c r="V13" s="80">
        <f>U13/12</f>
        <v>478</v>
      </c>
    </row>
    <row r="14" spans="1:22" ht="30" customHeight="1" x14ac:dyDescent="0.25">
      <c r="B14" s="223" t="s">
        <v>36</v>
      </c>
      <c r="C14" s="224"/>
      <c r="D14" s="225"/>
      <c r="E14" s="3">
        <f>'Mai '!H14</f>
        <v>1145</v>
      </c>
      <c r="F14" s="3">
        <f>Juin!H13</f>
        <v>157</v>
      </c>
      <c r="G14" s="3">
        <f>Juillet!H11</f>
        <v>509</v>
      </c>
      <c r="H14" s="3">
        <f>Aout!H14</f>
        <v>24</v>
      </c>
      <c r="I14" s="3">
        <f>Septembre!H14</f>
        <v>132</v>
      </c>
      <c r="J14" s="3">
        <f>Octobre!H14</f>
        <v>950</v>
      </c>
      <c r="K14" s="3">
        <f>Novembre!H20</f>
        <v>604</v>
      </c>
      <c r="L14" s="3">
        <f>Décembre!H15</f>
        <v>1018</v>
      </c>
      <c r="M14" s="3">
        <f>Janvier!I11</f>
        <v>143</v>
      </c>
      <c r="N14" s="3">
        <f>Février!H13</f>
        <v>0</v>
      </c>
      <c r="O14" s="3">
        <f>Mars!H14</f>
        <v>0</v>
      </c>
      <c r="P14" s="3">
        <f>Avril!H15</f>
        <v>0</v>
      </c>
      <c r="Q14" s="66">
        <f>SUM(E14:P14)</f>
        <v>4682</v>
      </c>
      <c r="R14" s="4">
        <f>Q14/U14*12</f>
        <v>5.3432239657631957</v>
      </c>
      <c r="S14" s="72">
        <f>S4*V14</f>
        <v>7886.25</v>
      </c>
      <c r="T14" s="101">
        <f t="shared" si="0"/>
        <v>-3204.25</v>
      </c>
      <c r="U14" s="76">
        <v>10515</v>
      </c>
      <c r="V14" s="80">
        <f t="shared" ref="V14" si="1">U14/12</f>
        <v>876.25</v>
      </c>
    </row>
    <row r="15" spans="1:22" ht="30" customHeight="1" x14ac:dyDescent="0.25">
      <c r="B15" s="223" t="s">
        <v>37</v>
      </c>
      <c r="C15" s="224"/>
      <c r="D15" s="225"/>
      <c r="E15" s="3">
        <f>'Mai '!I14</f>
        <v>3086</v>
      </c>
      <c r="F15" s="3">
        <f>Juin!I13</f>
        <v>1050</v>
      </c>
      <c r="G15" s="3">
        <f>Juillet!I11</f>
        <v>5139</v>
      </c>
      <c r="H15" s="3">
        <f>Aout!I14</f>
        <v>448</v>
      </c>
      <c r="I15" s="3">
        <f>Septembre!I14</f>
        <v>1285</v>
      </c>
      <c r="J15" s="3">
        <f>Octobre!I14</f>
        <v>2159</v>
      </c>
      <c r="K15" s="3">
        <f>Novembre!I20</f>
        <v>1107</v>
      </c>
      <c r="L15" s="3">
        <f>Décembre!I15</f>
        <v>1930</v>
      </c>
      <c r="M15" s="3">
        <f>Janvier!J11</f>
        <v>1480</v>
      </c>
      <c r="N15" s="3">
        <f>Février!I13</f>
        <v>281</v>
      </c>
      <c r="O15" s="3">
        <f>Mars!I14</f>
        <v>0</v>
      </c>
      <c r="P15" s="3">
        <f>Avril!I15</f>
        <v>0</v>
      </c>
      <c r="Q15" s="66">
        <f>SUM(E15:P15)</f>
        <v>17965</v>
      </c>
      <c r="R15" s="4">
        <f>Q15/U15*12</f>
        <v>10.093641726753441</v>
      </c>
      <c r="S15" s="72">
        <f>S4*V15</f>
        <v>16018.5</v>
      </c>
      <c r="T15" s="101">
        <f t="shared" si="0"/>
        <v>1946.5</v>
      </c>
      <c r="U15" s="76">
        <v>21358</v>
      </c>
      <c r="V15" s="80">
        <f>U15/12</f>
        <v>1779.8333333333333</v>
      </c>
    </row>
    <row r="16" spans="1:22" ht="30" customHeight="1" x14ac:dyDescent="0.25">
      <c r="B16" s="226" t="s">
        <v>23</v>
      </c>
      <c r="C16" s="227"/>
      <c r="D16" s="228"/>
      <c r="E16" s="3">
        <f t="shared" ref="E16:K16" si="2">SUM(E13:E15)</f>
        <v>4691</v>
      </c>
      <c r="F16" s="3">
        <f t="shared" si="2"/>
        <v>1449</v>
      </c>
      <c r="G16" s="3">
        <f t="shared" si="2"/>
        <v>6180</v>
      </c>
      <c r="H16" s="3">
        <f t="shared" si="2"/>
        <v>488</v>
      </c>
      <c r="I16" s="3">
        <f t="shared" si="2"/>
        <v>1593</v>
      </c>
      <c r="J16" s="3">
        <f t="shared" si="2"/>
        <v>3787</v>
      </c>
      <c r="K16" s="3">
        <f t="shared" si="2"/>
        <v>1971</v>
      </c>
      <c r="L16" s="3">
        <f>SUM(L13:L15)</f>
        <v>3414</v>
      </c>
      <c r="M16" s="3">
        <f>SUM(M13:M15)</f>
        <v>1851</v>
      </c>
      <c r="N16" s="3">
        <f>SUM(N13:N15)</f>
        <v>321</v>
      </c>
      <c r="O16" s="3">
        <f>SUM(O13:O15)</f>
        <v>0</v>
      </c>
      <c r="P16" s="3">
        <f>SUM(P13:P15)</f>
        <v>0</v>
      </c>
      <c r="Q16" s="66">
        <f>SUM(E16:P16)</f>
        <v>25745</v>
      </c>
      <c r="R16" s="4">
        <f>Q16/U16*12</f>
        <v>8.2145231194660848</v>
      </c>
      <c r="S16" s="72">
        <f>S4*V16</f>
        <v>28206.75</v>
      </c>
      <c r="T16" s="101">
        <f t="shared" si="0"/>
        <v>-2461.75</v>
      </c>
      <c r="U16" s="76">
        <f>SUM(U13:U15)</f>
        <v>37609</v>
      </c>
      <c r="V16" s="80">
        <f>U16/12</f>
        <v>3134.0833333333335</v>
      </c>
    </row>
    <row r="17" spans="2:22" ht="18.75" customHeight="1" x14ac:dyDescent="0.25">
      <c r="B17" s="229"/>
      <c r="C17" s="230"/>
      <c r="D17" s="23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7"/>
      <c r="R17" s="4"/>
      <c r="S17" s="73"/>
      <c r="T17" s="101"/>
      <c r="U17" s="77"/>
      <c r="V17" s="82"/>
    </row>
    <row r="18" spans="2:22" ht="30" customHeight="1" x14ac:dyDescent="0.25">
      <c r="B18" s="217" t="s">
        <v>27</v>
      </c>
      <c r="C18" s="218"/>
      <c r="D18" s="219"/>
      <c r="E18" s="1">
        <f>'Mai '!J14</f>
        <v>27350</v>
      </c>
      <c r="F18" s="1">
        <f>Juin!J13</f>
        <v>1608</v>
      </c>
      <c r="G18" s="1">
        <f>Juillet!J11</f>
        <v>32630</v>
      </c>
      <c r="H18" s="1">
        <f>Aout!J14</f>
        <v>595</v>
      </c>
      <c r="I18" s="1">
        <f>Septembre!J14</f>
        <v>4236</v>
      </c>
      <c r="J18" s="1">
        <f>Octobre!J14</f>
        <v>33428</v>
      </c>
      <c r="K18" s="1">
        <f>Novembre!J20</f>
        <v>12020</v>
      </c>
      <c r="L18" s="1">
        <f>Décembre!J15</f>
        <v>70040</v>
      </c>
      <c r="M18" s="1">
        <f>Janvier!K11</f>
        <v>5690</v>
      </c>
      <c r="N18" s="1">
        <f>Février!J13</f>
        <v>0</v>
      </c>
      <c r="O18" s="1">
        <f>Mars!J14</f>
        <v>0</v>
      </c>
      <c r="P18" s="1">
        <f>Avril!J15</f>
        <v>0</v>
      </c>
      <c r="Q18" s="67">
        <f>SUM(E18:P18)</f>
        <v>187597</v>
      </c>
      <c r="R18" s="4">
        <f>Q18/U18*12</f>
        <v>6.2532333333333341</v>
      </c>
      <c r="S18" s="148">
        <f>S4*V18</f>
        <v>270000</v>
      </c>
      <c r="T18" s="158">
        <f t="shared" si="0"/>
        <v>-82403</v>
      </c>
      <c r="U18" s="149">
        <f>V18*12</f>
        <v>360000</v>
      </c>
      <c r="V18" s="150">
        <v>30000</v>
      </c>
    </row>
    <row r="19" spans="2:22" ht="22.5" customHeight="1" thickBot="1" x14ac:dyDescent="0.3">
      <c r="B19" s="220"/>
      <c r="C19" s="221"/>
      <c r="D19" s="222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185" t="s">
        <v>38</v>
      </c>
      <c r="P19" s="186"/>
      <c r="Q19" s="83">
        <f>Q18/S4</f>
        <v>20844.111111111109</v>
      </c>
      <c r="R19" s="69"/>
      <c r="S19" s="69"/>
      <c r="T19" s="92"/>
      <c r="U19" s="91"/>
      <c r="V19" s="70"/>
    </row>
  </sheetData>
  <mergeCells count="20">
    <mergeCell ref="B8:D8"/>
    <mergeCell ref="B11:D11"/>
    <mergeCell ref="B19:D19"/>
    <mergeCell ref="B13:D13"/>
    <mergeCell ref="B14:D14"/>
    <mergeCell ref="B15:D15"/>
    <mergeCell ref="B16:D16"/>
    <mergeCell ref="B18:D18"/>
    <mergeCell ref="B9:D9"/>
    <mergeCell ref="B17:D17"/>
    <mergeCell ref="B10:D10"/>
    <mergeCell ref="O19:P19"/>
    <mergeCell ref="Q6:T7"/>
    <mergeCell ref="U6:V7"/>
    <mergeCell ref="E2:P7"/>
    <mergeCell ref="Q2:R3"/>
    <mergeCell ref="S2:V3"/>
    <mergeCell ref="Q4:R5"/>
    <mergeCell ref="S4:T5"/>
    <mergeCell ref="U4:V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3" orientation="landscape" r:id="rId1"/>
  <headerFooter>
    <oddFooter>&amp;L&amp;D&amp;R&amp;Z&amp;F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5"/>
  <sheetViews>
    <sheetView zoomScaleNormal="100" workbookViewId="0">
      <selection activeCell="G24" sqref="G24"/>
    </sheetView>
  </sheetViews>
  <sheetFormatPr baseColWidth="10" defaultRowHeight="15" x14ac:dyDescent="0.25"/>
  <cols>
    <col min="1" max="1" width="8.28515625" customWidth="1"/>
    <col min="2" max="2" width="9" customWidth="1"/>
    <col min="3" max="3" width="32" customWidth="1"/>
    <col min="4" max="4" width="14" customWidth="1"/>
    <col min="5" max="6" width="14.42578125" customWidth="1"/>
    <col min="11" max="11" width="13.5703125" customWidth="1"/>
    <col min="12" max="12" width="13.140625" customWidth="1"/>
    <col min="13" max="13" width="13" customWidth="1"/>
    <col min="14" max="14" width="9.85546875" customWidth="1"/>
  </cols>
  <sheetData>
    <row r="2" spans="1:14" ht="18.75" x14ac:dyDescent="0.3">
      <c r="C2" s="232" t="s">
        <v>4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28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135" t="s">
        <v>91</v>
      </c>
      <c r="L4" s="134" t="s">
        <v>24</v>
      </c>
      <c r="M4" s="157" t="s">
        <v>81</v>
      </c>
      <c r="N4" s="157" t="s">
        <v>85</v>
      </c>
    </row>
    <row r="5" spans="1:14" x14ac:dyDescent="0.25">
      <c r="A5" t="s">
        <v>54</v>
      </c>
      <c r="B5" t="s">
        <v>54</v>
      </c>
      <c r="C5" s="21"/>
      <c r="D5" s="7" t="s">
        <v>62</v>
      </c>
      <c r="E5" s="127">
        <v>53762</v>
      </c>
      <c r="F5" s="127">
        <v>18238</v>
      </c>
      <c r="G5" s="16">
        <v>80</v>
      </c>
      <c r="H5" s="7">
        <f>212</f>
        <v>212</v>
      </c>
      <c r="I5" s="16">
        <v>226</v>
      </c>
      <c r="J5" s="7">
        <v>7010</v>
      </c>
      <c r="K5" s="131">
        <v>9865</v>
      </c>
      <c r="L5" s="133">
        <f>(E5-F5*1.05)*0.34</f>
        <v>11768.114</v>
      </c>
      <c r="M5" s="155" t="s">
        <v>82</v>
      </c>
      <c r="N5" s="155" t="s">
        <v>86</v>
      </c>
    </row>
    <row r="6" spans="1:14" x14ac:dyDescent="0.25">
      <c r="A6" t="s">
        <v>54</v>
      </c>
      <c r="B6" t="s">
        <v>54</v>
      </c>
      <c r="C6" s="22"/>
      <c r="D6" s="8" t="s">
        <v>44</v>
      </c>
      <c r="E6" s="128">
        <v>66300</v>
      </c>
      <c r="F6" s="128">
        <v>5608</v>
      </c>
      <c r="G6" s="11">
        <v>88</v>
      </c>
      <c r="H6" s="8">
        <f>429+32</f>
        <v>461</v>
      </c>
      <c r="I6" s="11">
        <v>433</v>
      </c>
      <c r="J6" s="8">
        <v>9660</v>
      </c>
      <c r="K6" s="130">
        <v>17601</v>
      </c>
      <c r="L6" s="133">
        <f>(E6-F6*1.05)*0.34</f>
        <v>20539.944</v>
      </c>
      <c r="M6" s="155" t="s">
        <v>83</v>
      </c>
      <c r="N6" s="155" t="s">
        <v>87</v>
      </c>
    </row>
    <row r="7" spans="1:14" x14ac:dyDescent="0.25">
      <c r="A7" t="s">
        <v>54</v>
      </c>
      <c r="B7" t="s">
        <v>54</v>
      </c>
      <c r="C7" s="22"/>
      <c r="D7" s="8" t="s">
        <v>47</v>
      </c>
      <c r="E7" s="128">
        <v>338948</v>
      </c>
      <c r="F7" s="128">
        <v>72124</v>
      </c>
      <c r="G7" s="11">
        <v>236</v>
      </c>
      <c r="H7" s="8">
        <v>472</v>
      </c>
      <c r="I7" s="11">
        <f>266+1638</f>
        <v>1904</v>
      </c>
      <c r="J7" s="8">
        <v>10680</v>
      </c>
      <c r="K7" s="130">
        <v>77379</v>
      </c>
      <c r="L7" s="133">
        <f>(E7-F7*1.05)*0.292</f>
        <v>76859.597599999994</v>
      </c>
      <c r="M7" s="155" t="s">
        <v>84</v>
      </c>
      <c r="N7" s="155" t="s">
        <v>86</v>
      </c>
    </row>
    <row r="8" spans="1:14" x14ac:dyDescent="0.25">
      <c r="A8" t="s">
        <v>54</v>
      </c>
      <c r="B8" t="s">
        <v>54</v>
      </c>
      <c r="C8" s="22"/>
      <c r="D8" s="8" t="s">
        <v>45</v>
      </c>
      <c r="E8" s="128">
        <v>30012</v>
      </c>
      <c r="F8" s="128">
        <v>0</v>
      </c>
      <c r="G8" s="11">
        <v>8</v>
      </c>
      <c r="H8" s="8">
        <v>0</v>
      </c>
      <c r="I8" s="11">
        <v>382</v>
      </c>
      <c r="J8" s="8">
        <v>0</v>
      </c>
      <c r="K8" s="130">
        <v>8703</v>
      </c>
      <c r="L8" s="133">
        <f>(E8-F8*1.05)*0.34</f>
        <v>10204.08</v>
      </c>
      <c r="M8" s="155" t="s">
        <v>83</v>
      </c>
      <c r="N8" s="155" t="s">
        <v>87</v>
      </c>
    </row>
    <row r="9" spans="1:14" x14ac:dyDescent="0.25">
      <c r="A9" t="s">
        <v>54</v>
      </c>
      <c r="B9" t="s">
        <v>54</v>
      </c>
      <c r="C9" s="22"/>
      <c r="D9" s="8" t="s">
        <v>46</v>
      </c>
      <c r="E9" s="128">
        <v>13777</v>
      </c>
      <c r="F9" s="128">
        <v>1000</v>
      </c>
      <c r="G9" s="11">
        <v>48</v>
      </c>
      <c r="H9" s="8">
        <v>0</v>
      </c>
      <c r="I9" s="11">
        <v>141</v>
      </c>
      <c r="J9" s="8">
        <v>0</v>
      </c>
      <c r="K9" s="130">
        <v>3705</v>
      </c>
      <c r="L9" s="133">
        <f>(E9-F9*1.05)*0.34</f>
        <v>4327.18</v>
      </c>
      <c r="M9" s="155" t="s">
        <v>82</v>
      </c>
      <c r="N9" s="155" t="s">
        <v>86</v>
      </c>
    </row>
    <row r="10" spans="1:14" x14ac:dyDescent="0.25">
      <c r="B10" t="s">
        <v>54</v>
      </c>
      <c r="C10" s="22"/>
      <c r="D10" s="8" t="s">
        <v>48</v>
      </c>
      <c r="E10" s="128">
        <v>3630</v>
      </c>
      <c r="F10" s="128">
        <v>2216</v>
      </c>
      <c r="G10" s="11">
        <v>0</v>
      </c>
      <c r="H10" s="8">
        <v>0</v>
      </c>
      <c r="I10" s="11">
        <v>0</v>
      </c>
      <c r="J10" s="8">
        <v>0</v>
      </c>
      <c r="K10" s="130">
        <v>410</v>
      </c>
      <c r="L10" s="133">
        <f>(E10-F10)*0.34</f>
        <v>480.76000000000005</v>
      </c>
      <c r="M10" s="155" t="s">
        <v>83</v>
      </c>
      <c r="N10" s="155" t="s">
        <v>86</v>
      </c>
    </row>
    <row r="11" spans="1:14" x14ac:dyDescent="0.25">
      <c r="C11" s="22"/>
      <c r="D11" s="8"/>
      <c r="E11" s="128"/>
      <c r="F11" s="128"/>
      <c r="G11" s="11"/>
      <c r="H11" s="8"/>
      <c r="I11" s="11"/>
      <c r="J11" s="8"/>
      <c r="K11" s="130"/>
      <c r="L11" s="133">
        <f t="shared" ref="L11:L13" si="0">(E11-F11)*0.34</f>
        <v>0</v>
      </c>
      <c r="M11" s="155"/>
      <c r="N11" s="155"/>
    </row>
    <row r="12" spans="1:14" x14ac:dyDescent="0.25">
      <c r="C12" s="22"/>
      <c r="D12" s="8"/>
      <c r="E12" s="128"/>
      <c r="F12" s="128"/>
      <c r="G12" s="11"/>
      <c r="H12" s="8"/>
      <c r="I12" s="11"/>
      <c r="J12" s="8"/>
      <c r="K12" s="130"/>
      <c r="L12" s="133">
        <f t="shared" si="0"/>
        <v>0</v>
      </c>
      <c r="M12" s="155"/>
      <c r="N12" s="155"/>
    </row>
    <row r="13" spans="1:14" ht="15.75" thickBot="1" x14ac:dyDescent="0.3">
      <c r="C13" s="23"/>
      <c r="D13" s="14"/>
      <c r="E13" s="129"/>
      <c r="F13" s="129"/>
      <c r="G13" s="13"/>
      <c r="H13" s="14"/>
      <c r="I13" s="13"/>
      <c r="J13" s="14"/>
      <c r="K13" s="132"/>
      <c r="L13" s="136">
        <f t="shared" si="0"/>
        <v>0</v>
      </c>
      <c r="M13" s="156"/>
      <c r="N13" s="156"/>
    </row>
    <row r="14" spans="1:14" ht="15.75" thickBot="1" x14ac:dyDescent="0.3">
      <c r="D14" s="33" t="s">
        <v>23</v>
      </c>
      <c r="E14" s="43">
        <f>SUM(E5:E13)</f>
        <v>506429</v>
      </c>
      <c r="F14" s="43">
        <f>SUM(F5:F13)</f>
        <v>99186</v>
      </c>
      <c r="G14" s="34">
        <f>SUM(G5:G12)</f>
        <v>460</v>
      </c>
      <c r="H14" s="34">
        <f>SUM(H5:H12)</f>
        <v>1145</v>
      </c>
      <c r="I14" s="34">
        <f>SUM(I5:I12)</f>
        <v>3086</v>
      </c>
      <c r="J14" s="34">
        <f>SUM(J5:J12)</f>
        <v>27350</v>
      </c>
      <c r="K14" s="137">
        <f>SUM(K5:K12)</f>
        <v>117663</v>
      </c>
      <c r="L14" s="138">
        <f>SUM(L5:L13)</f>
        <v>124179.6756</v>
      </c>
    </row>
    <row r="15" spans="1:14" x14ac:dyDescent="0.25">
      <c r="F15" s="107"/>
    </row>
  </sheetData>
  <autoFilter ref="A4:N14"/>
  <mergeCells count="1">
    <mergeCell ref="C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14"/>
  <sheetViews>
    <sheetView topLeftCell="B1" workbookViewId="0">
      <selection activeCell="C2" sqref="C2:K2"/>
    </sheetView>
  </sheetViews>
  <sheetFormatPr baseColWidth="10" defaultRowHeight="15" x14ac:dyDescent="0.25"/>
  <cols>
    <col min="1" max="1" width="7.140625" customWidth="1"/>
    <col min="2" max="2" width="6.7109375" customWidth="1"/>
    <col min="3" max="3" width="32.85546875" bestFit="1" customWidth="1"/>
    <col min="4" max="4" width="13.7109375" customWidth="1"/>
    <col min="5" max="6" width="14.5703125" customWidth="1"/>
    <col min="10" max="10" width="11.7109375" customWidth="1"/>
    <col min="11" max="11" width="13.140625" customWidth="1"/>
    <col min="12" max="12" width="14.28515625" customWidth="1"/>
    <col min="13" max="13" width="12" customWidth="1"/>
  </cols>
  <sheetData>
    <row r="2" spans="1:14" ht="18.75" x14ac:dyDescent="0.3">
      <c r="C2" s="233" t="s">
        <v>5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43" t="s">
        <v>28</v>
      </c>
      <c r="D4" s="144" t="s">
        <v>15</v>
      </c>
      <c r="E4" s="144" t="s">
        <v>25</v>
      </c>
      <c r="F4" s="144" t="s">
        <v>41</v>
      </c>
      <c r="G4" s="144" t="s">
        <v>16</v>
      </c>
      <c r="H4" s="144" t="s">
        <v>17</v>
      </c>
      <c r="I4" s="144" t="s">
        <v>18</v>
      </c>
      <c r="J4" s="144" t="s">
        <v>11</v>
      </c>
      <c r="K4" s="141" t="s">
        <v>91</v>
      </c>
      <c r="L4" s="141" t="s">
        <v>24</v>
      </c>
      <c r="M4" s="157" t="s">
        <v>81</v>
      </c>
      <c r="N4" s="157" t="s">
        <v>85</v>
      </c>
    </row>
    <row r="5" spans="1:14" x14ac:dyDescent="0.25">
      <c r="A5" t="s">
        <v>54</v>
      </c>
      <c r="B5" t="s">
        <v>54</v>
      </c>
      <c r="C5" s="139"/>
      <c r="D5" s="40" t="s">
        <v>49</v>
      </c>
      <c r="E5" s="49">
        <v>16500</v>
      </c>
      <c r="F5" s="49">
        <v>121</v>
      </c>
      <c r="G5" s="26">
        <v>42</v>
      </c>
      <c r="H5" s="25">
        <v>85</v>
      </c>
      <c r="I5" s="26">
        <v>224</v>
      </c>
      <c r="J5" s="25">
        <v>890</v>
      </c>
      <c r="K5" s="58">
        <v>4750</v>
      </c>
      <c r="L5" s="147">
        <f>(E5-F5*1.05)*0.34</f>
        <v>5566.8030000000008</v>
      </c>
      <c r="M5" s="155" t="s">
        <v>84</v>
      </c>
      <c r="N5" s="155" t="s">
        <v>87</v>
      </c>
    </row>
    <row r="6" spans="1:14" x14ac:dyDescent="0.25">
      <c r="A6" t="s">
        <v>54</v>
      </c>
      <c r="B6" t="s">
        <v>54</v>
      </c>
      <c r="C6" s="24"/>
      <c r="D6" s="37" t="s">
        <v>51</v>
      </c>
      <c r="E6" s="50">
        <v>9565</v>
      </c>
      <c r="F6" s="50">
        <v>0</v>
      </c>
      <c r="G6" s="9">
        <v>12</v>
      </c>
      <c r="H6" s="31">
        <v>0</v>
      </c>
      <c r="I6" s="9">
        <v>128</v>
      </c>
      <c r="J6" s="28">
        <v>0</v>
      </c>
      <c r="K6" s="59">
        <v>2774</v>
      </c>
      <c r="L6" s="151">
        <f t="shared" ref="L6:L11" si="0">(E6-F6)*0.34</f>
        <v>3252.1000000000004</v>
      </c>
      <c r="M6" s="155" t="s">
        <v>83</v>
      </c>
      <c r="N6" s="155" t="s">
        <v>86</v>
      </c>
    </row>
    <row r="7" spans="1:14" x14ac:dyDescent="0.25">
      <c r="A7" t="s">
        <v>54</v>
      </c>
      <c r="B7" t="s">
        <v>54</v>
      </c>
      <c r="C7" s="27"/>
      <c r="D7" s="37" t="s">
        <v>52</v>
      </c>
      <c r="E7" s="50">
        <v>1980</v>
      </c>
      <c r="F7" s="50">
        <v>26</v>
      </c>
      <c r="G7" s="9">
        <v>8</v>
      </c>
      <c r="H7" s="28">
        <v>20</v>
      </c>
      <c r="I7" s="9">
        <v>16</v>
      </c>
      <c r="J7" s="28">
        <v>160</v>
      </c>
      <c r="K7" s="59">
        <v>567</v>
      </c>
      <c r="L7" s="151">
        <f t="shared" si="0"/>
        <v>664.36</v>
      </c>
      <c r="M7" s="155" t="s">
        <v>83</v>
      </c>
      <c r="N7" s="155" t="s">
        <v>86</v>
      </c>
    </row>
    <row r="8" spans="1:14" x14ac:dyDescent="0.25">
      <c r="A8" t="s">
        <v>54</v>
      </c>
      <c r="B8" t="s">
        <v>54</v>
      </c>
      <c r="C8" s="24"/>
      <c r="D8" s="37" t="s">
        <v>53</v>
      </c>
      <c r="E8" s="50">
        <v>26500</v>
      </c>
      <c r="F8" s="50">
        <v>0</v>
      </c>
      <c r="G8" s="9">
        <v>80</v>
      </c>
      <c r="H8" s="28">
        <v>0</v>
      </c>
      <c r="I8" s="9">
        <v>300</v>
      </c>
      <c r="J8" s="28">
        <v>0</v>
      </c>
      <c r="K8" s="59">
        <v>7685</v>
      </c>
      <c r="L8" s="151">
        <f t="shared" si="0"/>
        <v>9010</v>
      </c>
      <c r="M8" s="155" t="s">
        <v>83</v>
      </c>
      <c r="N8" s="155" t="s">
        <v>87</v>
      </c>
    </row>
    <row r="9" spans="1:14" x14ac:dyDescent="0.25">
      <c r="A9" t="s">
        <v>54</v>
      </c>
      <c r="B9" t="s">
        <v>54</v>
      </c>
      <c r="C9" s="27"/>
      <c r="D9" s="37" t="s">
        <v>61</v>
      </c>
      <c r="E9" s="50">
        <v>42606.1</v>
      </c>
      <c r="F9" s="50">
        <v>3675</v>
      </c>
      <c r="G9" s="9">
        <v>40</v>
      </c>
      <c r="H9" s="28">
        <v>6</v>
      </c>
      <c r="I9" s="9">
        <f>379+15</f>
        <v>394</v>
      </c>
      <c r="J9" s="28">
        <v>108</v>
      </c>
      <c r="K9" s="59">
        <v>11290</v>
      </c>
      <c r="L9" s="151">
        <f>(E9-F9*1.05)*0.34</f>
        <v>13174.099</v>
      </c>
      <c r="M9" s="155" t="s">
        <v>84</v>
      </c>
      <c r="N9" s="155" t="s">
        <v>86</v>
      </c>
    </row>
    <row r="10" spans="1:14" x14ac:dyDescent="0.25">
      <c r="B10" t="s">
        <v>54</v>
      </c>
      <c r="C10" s="27"/>
      <c r="D10" s="37" t="s">
        <v>57</v>
      </c>
      <c r="E10" s="50">
        <v>-4574</v>
      </c>
      <c r="F10" s="50">
        <v>623</v>
      </c>
      <c r="G10" s="9">
        <v>60</v>
      </c>
      <c r="H10" s="28">
        <v>46</v>
      </c>
      <c r="I10" s="9">
        <v>-12</v>
      </c>
      <c r="J10" s="28">
        <v>450</v>
      </c>
      <c r="K10" s="59">
        <v>-1507</v>
      </c>
      <c r="L10" s="151">
        <f>(E10-F10*1.05)*0.34</f>
        <v>-1777.5709999999999</v>
      </c>
      <c r="M10" s="155" t="s">
        <v>82</v>
      </c>
      <c r="N10" s="155" t="s">
        <v>86</v>
      </c>
    </row>
    <row r="11" spans="1:14" x14ac:dyDescent="0.25">
      <c r="C11" s="24"/>
      <c r="D11" s="37"/>
      <c r="E11" s="50"/>
      <c r="F11" s="50"/>
      <c r="G11" s="9"/>
      <c r="H11" s="28"/>
      <c r="I11" s="9"/>
      <c r="J11" s="28"/>
      <c r="K11" s="59"/>
      <c r="L11" s="151">
        <f t="shared" si="0"/>
        <v>0</v>
      </c>
      <c r="M11" s="155"/>
      <c r="N11" s="155"/>
    </row>
    <row r="12" spans="1:14" ht="15.75" thickBot="1" x14ac:dyDescent="0.3">
      <c r="C12" s="140"/>
      <c r="D12" s="41"/>
      <c r="E12" s="51"/>
      <c r="F12" s="51"/>
      <c r="G12" s="30"/>
      <c r="H12" s="29"/>
      <c r="I12" s="30"/>
      <c r="J12" s="29"/>
      <c r="K12" s="60"/>
      <c r="L12" s="152">
        <f t="shared" ref="L12" si="1">(E12-F12)*0.34</f>
        <v>0</v>
      </c>
      <c r="M12" s="155"/>
      <c r="N12" s="155"/>
    </row>
    <row r="13" spans="1:14" ht="15.75" thickBot="1" x14ac:dyDescent="0.3">
      <c r="D13" s="23" t="s">
        <v>23</v>
      </c>
      <c r="E13" s="145">
        <f>SUM(E5:E12)</f>
        <v>92577.1</v>
      </c>
      <c r="F13" s="145">
        <f>SUM(F5:F12)</f>
        <v>4445</v>
      </c>
      <c r="G13" s="146">
        <f>SUM(G5:G11)</f>
        <v>242</v>
      </c>
      <c r="H13" s="146">
        <f>SUM(H5:H11)</f>
        <v>157</v>
      </c>
      <c r="I13" s="146">
        <f>SUM(I5:I11)</f>
        <v>1050</v>
      </c>
      <c r="J13" s="146">
        <f>SUM(J5:J11)</f>
        <v>1608</v>
      </c>
      <c r="K13" s="70">
        <f>SUM(K5:K11)</f>
        <v>25559</v>
      </c>
      <c r="L13" s="142">
        <f>SUM(L5:L12)</f>
        <v>29889.791000000001</v>
      </c>
      <c r="M13" s="156"/>
      <c r="N13" s="156"/>
    </row>
    <row r="14" spans="1:14" x14ac:dyDescent="0.25">
      <c r="F14" s="107"/>
    </row>
  </sheetData>
  <autoFilter ref="A4:N13"/>
  <mergeCells count="1">
    <mergeCell ref="C2:K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21"/>
  <sheetViews>
    <sheetView topLeftCell="B1" workbookViewId="0">
      <selection activeCell="C2" sqref="C2:K2"/>
    </sheetView>
  </sheetViews>
  <sheetFormatPr baseColWidth="10" defaultRowHeight="15" x14ac:dyDescent="0.25"/>
  <cols>
    <col min="1" max="1" width="8" customWidth="1"/>
    <col min="2" max="2" width="6.7109375" customWidth="1"/>
    <col min="3" max="3" width="27" customWidth="1"/>
    <col min="4" max="4" width="13.85546875" customWidth="1"/>
    <col min="5" max="6" width="13.7109375" customWidth="1"/>
    <col min="11" max="11" width="14.140625" customWidth="1"/>
    <col min="12" max="12" width="15.5703125" customWidth="1"/>
    <col min="13" max="13" width="12.42578125" customWidth="1"/>
  </cols>
  <sheetData>
    <row r="2" spans="1:14" ht="18.75" x14ac:dyDescent="0.3">
      <c r="C2" s="233" t="s">
        <v>13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28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27</v>
      </c>
      <c r="K4" s="6" t="s">
        <v>91</v>
      </c>
      <c r="L4" s="135" t="s">
        <v>24</v>
      </c>
      <c r="M4" s="157" t="s">
        <v>81</v>
      </c>
      <c r="N4" s="157" t="s">
        <v>85</v>
      </c>
    </row>
    <row r="5" spans="1:14" x14ac:dyDescent="0.25">
      <c r="A5" t="s">
        <v>54</v>
      </c>
      <c r="B5" t="s">
        <v>54</v>
      </c>
      <c r="C5" s="21"/>
      <c r="D5" s="7" t="s">
        <v>56</v>
      </c>
      <c r="E5" s="46">
        <v>102834</v>
      </c>
      <c r="F5" s="46">
        <v>9810</v>
      </c>
      <c r="G5" s="16">
        <v>158</v>
      </c>
      <c r="H5" s="7">
        <v>473</v>
      </c>
      <c r="I5" s="16">
        <v>567</v>
      </c>
      <c r="J5" s="7">
        <v>15050</v>
      </c>
      <c r="K5" s="55">
        <v>31600</v>
      </c>
      <c r="L5" s="159">
        <f>(E5-F5*1.05)*0.34</f>
        <v>31461.390000000003</v>
      </c>
      <c r="M5" s="155" t="s">
        <v>82</v>
      </c>
      <c r="N5" s="163" t="s">
        <v>86</v>
      </c>
    </row>
    <row r="6" spans="1:14" x14ac:dyDescent="0.25">
      <c r="A6" t="s">
        <v>54</v>
      </c>
      <c r="B6" t="s">
        <v>54</v>
      </c>
      <c r="C6" s="22"/>
      <c r="D6" s="8" t="s">
        <v>58</v>
      </c>
      <c r="E6" s="47">
        <v>34243</v>
      </c>
      <c r="F6" s="47">
        <v>3461</v>
      </c>
      <c r="G6" s="11">
        <v>64</v>
      </c>
      <c r="H6" s="8">
        <v>0</v>
      </c>
      <c r="I6" s="11">
        <v>448</v>
      </c>
      <c r="J6" s="8">
        <v>0</v>
      </c>
      <c r="K6" s="56">
        <v>8927</v>
      </c>
      <c r="L6" s="160">
        <f>(E6-F6*1.05)*0.34</f>
        <v>10407.043000000001</v>
      </c>
      <c r="M6" s="155" t="s">
        <v>84</v>
      </c>
      <c r="N6" s="155" t="s">
        <v>87</v>
      </c>
    </row>
    <row r="7" spans="1:14" x14ac:dyDescent="0.25">
      <c r="B7" t="s">
        <v>54</v>
      </c>
      <c r="C7" s="22"/>
      <c r="D7" s="8" t="s">
        <v>59</v>
      </c>
      <c r="E7" s="47">
        <v>4420</v>
      </c>
      <c r="F7" s="47">
        <v>204</v>
      </c>
      <c r="G7" s="11">
        <v>0</v>
      </c>
      <c r="H7" s="8">
        <v>0</v>
      </c>
      <c r="I7" s="11">
        <v>16</v>
      </c>
      <c r="J7" s="8">
        <v>0</v>
      </c>
      <c r="K7" s="56">
        <v>1223</v>
      </c>
      <c r="L7" s="160">
        <f t="shared" ref="L7:L10" si="0">(E7-F7)*0.34</f>
        <v>1433.44</v>
      </c>
      <c r="M7" s="155" t="s">
        <v>84</v>
      </c>
      <c r="N7" s="155" t="s">
        <v>87</v>
      </c>
    </row>
    <row r="8" spans="1:14" x14ac:dyDescent="0.25">
      <c r="A8" t="s">
        <v>54</v>
      </c>
      <c r="C8" s="153"/>
      <c r="D8" s="28" t="s">
        <v>60</v>
      </c>
      <c r="E8" s="50">
        <v>570000</v>
      </c>
      <c r="F8" s="50">
        <v>125752</v>
      </c>
      <c r="G8" s="9">
        <v>176</v>
      </c>
      <c r="H8" s="28">
        <v>36</v>
      </c>
      <c r="I8" s="9">
        <v>3332</v>
      </c>
      <c r="J8" s="28">
        <v>6090</v>
      </c>
      <c r="K8" s="59"/>
      <c r="L8" s="161">
        <f>(E8-F8*1.05)*0.34</f>
        <v>148906.53600000002</v>
      </c>
      <c r="M8" s="155" t="s">
        <v>83</v>
      </c>
      <c r="N8" s="155" t="s">
        <v>87</v>
      </c>
    </row>
    <row r="9" spans="1:14" x14ac:dyDescent="0.25">
      <c r="A9" t="s">
        <v>54</v>
      </c>
      <c r="C9" s="153"/>
      <c r="D9" s="28" t="s">
        <v>63</v>
      </c>
      <c r="E9" s="50">
        <v>103102</v>
      </c>
      <c r="F9" s="50">
        <v>6348</v>
      </c>
      <c r="G9" s="9">
        <v>134</v>
      </c>
      <c r="H9" s="28">
        <f>231+27</f>
        <v>258</v>
      </c>
      <c r="I9" s="9">
        <v>776</v>
      </c>
      <c r="J9" s="28">
        <v>11490</v>
      </c>
      <c r="K9" s="59">
        <v>28059</v>
      </c>
      <c r="L9" s="161">
        <f>(E9-F9*1.05)*0.34</f>
        <v>32788.444000000003</v>
      </c>
      <c r="M9" s="155" t="s">
        <v>84</v>
      </c>
      <c r="N9" s="155" t="s">
        <v>87</v>
      </c>
    </row>
    <row r="10" spans="1:14" ht="15.75" thickBot="1" x14ac:dyDescent="0.3">
      <c r="C10" s="23"/>
      <c r="D10" s="14"/>
      <c r="E10" s="48"/>
      <c r="F10" s="48"/>
      <c r="G10" s="13"/>
      <c r="H10" s="14"/>
      <c r="I10" s="13"/>
      <c r="J10" s="14"/>
      <c r="K10" s="57"/>
      <c r="L10" s="160">
        <f t="shared" si="0"/>
        <v>0</v>
      </c>
      <c r="M10" s="156"/>
      <c r="N10" s="156"/>
    </row>
    <row r="11" spans="1:14" ht="15.75" thickBot="1" x14ac:dyDescent="0.3">
      <c r="D11" s="33" t="s">
        <v>23</v>
      </c>
      <c r="E11" s="43">
        <f>SUM(E5:E10)</f>
        <v>814599</v>
      </c>
      <c r="F11" s="43">
        <f>SUM(F5:F10)</f>
        <v>145575</v>
      </c>
      <c r="G11" s="34">
        <f>SUM(G5:G9)</f>
        <v>532</v>
      </c>
      <c r="H11" s="34">
        <f>SUM(H5:H8)</f>
        <v>509</v>
      </c>
      <c r="I11" s="34">
        <f>SUM(I5:I9)</f>
        <v>5139</v>
      </c>
      <c r="J11" s="34">
        <f>SUM(J5:J9)</f>
        <v>32630</v>
      </c>
      <c r="K11" s="61">
        <f>SUM(K5:K9)</f>
        <v>69809</v>
      </c>
      <c r="L11" s="162">
        <f>SUM(L5:L10)</f>
        <v>224996.85300000006</v>
      </c>
      <c r="M11" s="62"/>
      <c r="N11" s="62"/>
    </row>
    <row r="12" spans="1:14" x14ac:dyDescent="0.25">
      <c r="F12" s="107"/>
      <c r="M12" s="62"/>
      <c r="N12" s="62"/>
    </row>
    <row r="13" spans="1:14" x14ac:dyDescent="0.25">
      <c r="M13" s="62"/>
      <c r="N13" s="62"/>
    </row>
    <row r="21" spans="3:3" x14ac:dyDescent="0.25">
      <c r="C21" t="s">
        <v>65</v>
      </c>
    </row>
  </sheetData>
  <autoFilter ref="A4:N11"/>
  <mergeCells count="1">
    <mergeCell ref="C2:K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15"/>
  <sheetViews>
    <sheetView tabSelected="1" workbookViewId="0">
      <selection activeCell="C2" sqref="C2:K2"/>
    </sheetView>
  </sheetViews>
  <sheetFormatPr baseColWidth="10" defaultRowHeight="15" x14ac:dyDescent="0.25"/>
  <cols>
    <col min="3" max="3" width="18.140625" customWidth="1"/>
    <col min="5" max="5" width="11.85546875" bestFit="1" customWidth="1"/>
    <col min="6" max="6" width="11.85546875" customWidth="1"/>
    <col min="12" max="12" width="12.7109375" customWidth="1"/>
  </cols>
  <sheetData>
    <row r="2" spans="1:14" ht="18.75" x14ac:dyDescent="0.3">
      <c r="C2" s="233" t="s">
        <v>22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14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A5" t="s">
        <v>54</v>
      </c>
      <c r="B5" t="s">
        <v>54</v>
      </c>
      <c r="C5" s="24"/>
      <c r="D5" s="28" t="s">
        <v>64</v>
      </c>
      <c r="E5" s="50">
        <v>20940</v>
      </c>
      <c r="F5" s="50">
        <v>0</v>
      </c>
      <c r="G5" s="9">
        <v>0</v>
      </c>
      <c r="H5" s="28">
        <v>0</v>
      </c>
      <c r="I5" s="9">
        <v>192</v>
      </c>
      <c r="J5" s="28">
        <v>0</v>
      </c>
      <c r="K5" s="59">
        <v>6073</v>
      </c>
      <c r="L5" s="125">
        <f t="shared" ref="L5" si="0">(E5-F5)*0.34</f>
        <v>7119.6</v>
      </c>
      <c r="M5" s="165" t="s">
        <v>83</v>
      </c>
      <c r="N5" s="165" t="s">
        <v>86</v>
      </c>
    </row>
    <row r="6" spans="1:14" x14ac:dyDescent="0.25">
      <c r="A6" t="s">
        <v>54</v>
      </c>
      <c r="B6" t="s">
        <v>54</v>
      </c>
      <c r="C6" s="17"/>
      <c r="D6" s="8" t="s">
        <v>66</v>
      </c>
      <c r="E6" s="47">
        <v>4481</v>
      </c>
      <c r="F6" s="47">
        <v>344</v>
      </c>
      <c r="G6" s="11">
        <v>16</v>
      </c>
      <c r="H6" s="8">
        <v>24</v>
      </c>
      <c r="I6" s="11">
        <v>24</v>
      </c>
      <c r="J6" s="8">
        <v>595</v>
      </c>
      <c r="K6" s="56">
        <v>1200</v>
      </c>
      <c r="L6" s="122">
        <f>(E6-F6*1.05)*0.34</f>
        <v>1400.7320000000002</v>
      </c>
      <c r="M6" s="165" t="s">
        <v>84</v>
      </c>
      <c r="N6" s="165" t="s">
        <v>87</v>
      </c>
    </row>
    <row r="7" spans="1:14" x14ac:dyDescent="0.25">
      <c r="C7" s="24"/>
      <c r="D7" s="28" t="s">
        <v>67</v>
      </c>
      <c r="E7" s="50">
        <v>25942</v>
      </c>
      <c r="F7" s="50">
        <v>8048</v>
      </c>
      <c r="G7" s="9">
        <v>0</v>
      </c>
      <c r="H7" s="28">
        <v>0</v>
      </c>
      <c r="I7" s="9">
        <v>232</v>
      </c>
      <c r="J7" s="28">
        <v>0</v>
      </c>
      <c r="K7" s="59">
        <v>5189</v>
      </c>
      <c r="L7" s="125">
        <f>(E7-F7*1.05)*0.34</f>
        <v>5947.1440000000002</v>
      </c>
      <c r="M7" s="165" t="s">
        <v>84</v>
      </c>
      <c r="N7" s="165" t="s">
        <v>87</v>
      </c>
    </row>
    <row r="8" spans="1:14" x14ac:dyDescent="0.25">
      <c r="C8" s="17"/>
      <c r="D8" s="8"/>
      <c r="E8" s="47"/>
      <c r="F8" s="47"/>
      <c r="G8" s="11"/>
      <c r="H8" s="8"/>
      <c r="I8" s="11"/>
      <c r="J8" s="8"/>
      <c r="K8" s="56"/>
      <c r="L8" s="122">
        <f t="shared" ref="L8:L13" si="1">(E8-F8)*0.34</f>
        <v>0</v>
      </c>
      <c r="M8" s="165"/>
      <c r="N8" s="155"/>
    </row>
    <row r="9" spans="1:14" x14ac:dyDescent="0.25">
      <c r="C9" s="17"/>
      <c r="D9" s="8"/>
      <c r="E9" s="47"/>
      <c r="F9" s="47"/>
      <c r="G9" s="11"/>
      <c r="H9" s="8"/>
      <c r="I9" s="11"/>
      <c r="J9" s="8"/>
      <c r="K9" s="56"/>
      <c r="L9" s="122">
        <f t="shared" si="1"/>
        <v>0</v>
      </c>
      <c r="M9" s="165"/>
      <c r="N9" s="155"/>
    </row>
    <row r="10" spans="1:14" x14ac:dyDescent="0.25">
      <c r="C10" s="17"/>
      <c r="D10" s="8"/>
      <c r="E10" s="47"/>
      <c r="F10" s="47"/>
      <c r="G10" s="11"/>
      <c r="H10" s="8"/>
      <c r="I10" s="11"/>
      <c r="J10" s="8"/>
      <c r="K10" s="56"/>
      <c r="L10" s="122">
        <f>(E10-F10)*0.34</f>
        <v>0</v>
      </c>
      <c r="M10" s="165"/>
      <c r="N10" s="155"/>
    </row>
    <row r="11" spans="1:14" x14ac:dyDescent="0.25">
      <c r="C11" s="17"/>
      <c r="D11" s="8"/>
      <c r="E11" s="47"/>
      <c r="F11" s="47"/>
      <c r="G11" s="11"/>
      <c r="H11" s="8"/>
      <c r="I11" s="11"/>
      <c r="J11" s="8"/>
      <c r="K11" s="56"/>
      <c r="L11" s="122">
        <f t="shared" si="1"/>
        <v>0</v>
      </c>
      <c r="M11" s="155"/>
      <c r="N11" s="155"/>
    </row>
    <row r="12" spans="1:14" x14ac:dyDescent="0.25">
      <c r="C12" s="17"/>
      <c r="D12" s="8"/>
      <c r="E12" s="47"/>
      <c r="F12" s="47"/>
      <c r="G12" s="11"/>
      <c r="H12" s="8"/>
      <c r="I12" s="11"/>
      <c r="J12" s="8"/>
      <c r="K12" s="56"/>
      <c r="L12" s="122">
        <f t="shared" si="1"/>
        <v>0</v>
      </c>
      <c r="M12" s="155"/>
      <c r="N12" s="155"/>
    </row>
    <row r="13" spans="1:14" ht="15.75" thickBot="1" x14ac:dyDescent="0.3">
      <c r="C13" s="18"/>
      <c r="D13" s="14"/>
      <c r="E13" s="48"/>
      <c r="F13" s="48"/>
      <c r="G13" s="13"/>
      <c r="H13" s="14"/>
      <c r="I13" s="13"/>
      <c r="J13" s="14"/>
      <c r="K13" s="57"/>
      <c r="L13" s="123">
        <f t="shared" si="1"/>
        <v>0</v>
      </c>
      <c r="M13" s="156"/>
      <c r="N13" s="156"/>
    </row>
    <row r="14" spans="1:14" ht="15.75" thickBot="1" x14ac:dyDescent="0.3">
      <c r="D14" s="33" t="s">
        <v>23</v>
      </c>
      <c r="E14" s="43">
        <f>SUM(E5:E13)</f>
        <v>51363</v>
      </c>
      <c r="F14" s="43">
        <f>SUM(F5:F13)</f>
        <v>8392</v>
      </c>
      <c r="G14" s="34">
        <f>SUM(G5:G11)</f>
        <v>16</v>
      </c>
      <c r="H14" s="34">
        <f t="shared" ref="H14:K14" si="2">SUM(H5:H11)</f>
        <v>24</v>
      </c>
      <c r="I14" s="34">
        <f t="shared" si="2"/>
        <v>448</v>
      </c>
      <c r="J14" s="34">
        <f t="shared" si="2"/>
        <v>595</v>
      </c>
      <c r="K14" s="36">
        <f t="shared" si="2"/>
        <v>12462</v>
      </c>
      <c r="L14" s="124">
        <f>SUM(L5:L13)</f>
        <v>14467.476000000001</v>
      </c>
    </row>
    <row r="15" spans="1:14" x14ac:dyDescent="0.25">
      <c r="F15" s="108"/>
    </row>
  </sheetData>
  <autoFilter ref="A4:N14"/>
  <mergeCells count="1">
    <mergeCell ref="C2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N15"/>
  <sheetViews>
    <sheetView workbookViewId="0">
      <selection activeCell="F20" sqref="F20"/>
    </sheetView>
  </sheetViews>
  <sheetFormatPr baseColWidth="10" defaultRowHeight="15" x14ac:dyDescent="0.25"/>
  <cols>
    <col min="2" max="2" width="4.5703125" customWidth="1"/>
    <col min="3" max="3" width="27.85546875" customWidth="1"/>
    <col min="5" max="5" width="12.85546875" bestFit="1" customWidth="1"/>
    <col min="6" max="6" width="12.85546875" customWidth="1"/>
    <col min="11" max="12" width="12.85546875" bestFit="1" customWidth="1"/>
    <col min="13" max="13" width="12.7109375" customWidth="1"/>
  </cols>
  <sheetData>
    <row r="2" spans="1:14" ht="18.75" x14ac:dyDescent="0.3">
      <c r="C2" s="233" t="s">
        <v>21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14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A5" t="s">
        <v>54</v>
      </c>
      <c r="B5" t="s">
        <v>54</v>
      </c>
      <c r="C5" s="110"/>
      <c r="D5" s="7" t="s">
        <v>68</v>
      </c>
      <c r="E5" s="46">
        <v>17500</v>
      </c>
      <c r="F5" s="46">
        <v>1946</v>
      </c>
      <c r="G5" s="16">
        <v>44</v>
      </c>
      <c r="H5" s="7">
        <v>108</v>
      </c>
      <c r="I5" s="16">
        <v>96</v>
      </c>
      <c r="J5" s="7">
        <v>4105</v>
      </c>
      <c r="K5" s="55">
        <v>4511</v>
      </c>
      <c r="L5" s="55">
        <f>(E5-F5*1.05)*0.34</f>
        <v>5255.2780000000002</v>
      </c>
      <c r="M5" s="155" t="s">
        <v>83</v>
      </c>
      <c r="N5" s="155" t="s">
        <v>87</v>
      </c>
    </row>
    <row r="6" spans="1:14" ht="15" customHeight="1" x14ac:dyDescent="0.25">
      <c r="B6" t="s">
        <v>54</v>
      </c>
      <c r="C6" s="111"/>
      <c r="D6" s="109" t="s">
        <v>69</v>
      </c>
      <c r="E6" s="50">
        <v>6770</v>
      </c>
      <c r="F6" s="50">
        <v>6220</v>
      </c>
      <c r="G6" s="9">
        <v>0</v>
      </c>
      <c r="H6" s="28">
        <v>0</v>
      </c>
      <c r="I6" s="9">
        <v>0</v>
      </c>
      <c r="J6" s="28">
        <v>0</v>
      </c>
      <c r="K6" s="59">
        <v>160</v>
      </c>
      <c r="L6" s="59">
        <v>160</v>
      </c>
      <c r="M6" s="155" t="s">
        <v>83</v>
      </c>
      <c r="N6" s="155" t="s">
        <v>87</v>
      </c>
    </row>
    <row r="7" spans="1:14" x14ac:dyDescent="0.25">
      <c r="B7" t="s">
        <v>54</v>
      </c>
      <c r="C7" s="112"/>
      <c r="D7" s="8" t="s">
        <v>79</v>
      </c>
      <c r="E7" s="47">
        <v>1997</v>
      </c>
      <c r="F7" s="47">
        <v>23</v>
      </c>
      <c r="G7" s="11">
        <v>8</v>
      </c>
      <c r="H7" s="8">
        <v>16</v>
      </c>
      <c r="I7" s="11">
        <v>16</v>
      </c>
      <c r="J7" s="8">
        <v>67</v>
      </c>
      <c r="K7" s="56">
        <v>572</v>
      </c>
      <c r="L7" s="56">
        <f>(E7-F7*1.05)*0.34</f>
        <v>670.76900000000001</v>
      </c>
      <c r="M7" s="155" t="s">
        <v>82</v>
      </c>
      <c r="N7" s="155" t="s">
        <v>87</v>
      </c>
    </row>
    <row r="8" spans="1:14" x14ac:dyDescent="0.25">
      <c r="B8" t="s">
        <v>54</v>
      </c>
      <c r="C8" s="112"/>
      <c r="D8" s="8" t="s">
        <v>70</v>
      </c>
      <c r="E8" s="47">
        <v>1350</v>
      </c>
      <c r="F8" s="47">
        <v>50</v>
      </c>
      <c r="G8" s="11">
        <v>4</v>
      </c>
      <c r="H8" s="8">
        <v>8</v>
      </c>
      <c r="I8" s="11">
        <v>16</v>
      </c>
      <c r="J8" s="8">
        <v>64</v>
      </c>
      <c r="K8" s="56">
        <v>377</v>
      </c>
      <c r="L8" s="56">
        <f>(E8-F8*1.05)*0.34</f>
        <v>441.15000000000003</v>
      </c>
      <c r="M8" s="155" t="s">
        <v>83</v>
      </c>
      <c r="N8" s="155" t="s">
        <v>87</v>
      </c>
    </row>
    <row r="9" spans="1:14" x14ac:dyDescent="0.25">
      <c r="A9" t="s">
        <v>54</v>
      </c>
      <c r="B9" t="s">
        <v>54</v>
      </c>
      <c r="C9" s="112"/>
      <c r="D9" s="8" t="s">
        <v>71</v>
      </c>
      <c r="E9" s="47">
        <v>40451</v>
      </c>
      <c r="F9" s="47">
        <v>5439</v>
      </c>
      <c r="G9" s="11">
        <v>80</v>
      </c>
      <c r="H9" s="8">
        <v>0</v>
      </c>
      <c r="I9" s="11">
        <v>400</v>
      </c>
      <c r="J9" s="8">
        <v>0</v>
      </c>
      <c r="K9" s="56">
        <v>10153</v>
      </c>
      <c r="L9" s="56">
        <f>(E9-F9*1.05)*0.34</f>
        <v>11811.617000000002</v>
      </c>
      <c r="M9" s="155" t="s">
        <v>82</v>
      </c>
      <c r="N9" s="155" t="s">
        <v>86</v>
      </c>
    </row>
    <row r="10" spans="1:14" x14ac:dyDescent="0.25">
      <c r="A10" t="s">
        <v>54</v>
      </c>
      <c r="B10" t="s">
        <v>54</v>
      </c>
      <c r="C10" s="154"/>
      <c r="D10" s="28" t="s">
        <v>72</v>
      </c>
      <c r="E10" s="50">
        <v>38591</v>
      </c>
      <c r="F10" s="50">
        <v>6306</v>
      </c>
      <c r="G10" s="9">
        <v>40</v>
      </c>
      <c r="H10" s="28">
        <v>0</v>
      </c>
      <c r="I10" s="9">
        <v>408</v>
      </c>
      <c r="J10" s="28">
        <v>0</v>
      </c>
      <c r="K10" s="59">
        <v>9363</v>
      </c>
      <c r="L10" s="56">
        <f t="shared" ref="L10" si="0">(E10-F10*1.05)*0.34</f>
        <v>10869.698</v>
      </c>
      <c r="M10" s="155" t="s">
        <v>84</v>
      </c>
      <c r="N10" s="155" t="s">
        <v>87</v>
      </c>
    </row>
    <row r="11" spans="1:14" x14ac:dyDescent="0.25">
      <c r="A11" t="s">
        <v>54</v>
      </c>
      <c r="B11" t="s">
        <v>54</v>
      </c>
      <c r="C11" s="112"/>
      <c r="D11" s="8" t="s">
        <v>78</v>
      </c>
      <c r="E11" s="47">
        <v>29340</v>
      </c>
      <c r="F11" s="47">
        <v>0</v>
      </c>
      <c r="G11" s="11">
        <v>0</v>
      </c>
      <c r="H11" s="8">
        <v>0</v>
      </c>
      <c r="I11" s="11">
        <v>349</v>
      </c>
      <c r="J11" s="8">
        <v>0</v>
      </c>
      <c r="K11" s="56">
        <v>8509</v>
      </c>
      <c r="L11" s="56">
        <f>(E11-F11*1.05)*0.34</f>
        <v>9975.6</v>
      </c>
      <c r="M11" s="155" t="s">
        <v>84</v>
      </c>
      <c r="N11" s="155" t="s">
        <v>87</v>
      </c>
    </row>
    <row r="12" spans="1:14" x14ac:dyDescent="0.25">
      <c r="C12" s="112"/>
      <c r="D12" s="8"/>
      <c r="E12" s="47"/>
      <c r="F12" s="47"/>
      <c r="G12" s="11"/>
      <c r="H12" s="8"/>
      <c r="I12" s="11"/>
      <c r="J12" s="8"/>
      <c r="K12" s="56"/>
      <c r="L12" s="56"/>
      <c r="M12" s="155"/>
      <c r="N12" s="155"/>
    </row>
    <row r="13" spans="1:14" ht="15.75" thickBot="1" x14ac:dyDescent="0.3">
      <c r="C13" s="23"/>
      <c r="D13" s="14"/>
      <c r="E13" s="48"/>
      <c r="F13" s="48"/>
      <c r="G13" s="13"/>
      <c r="H13" s="14"/>
      <c r="I13" s="13"/>
      <c r="J13" s="14"/>
      <c r="K13" s="57"/>
      <c r="L13" s="57"/>
      <c r="M13" s="156"/>
      <c r="N13" s="156"/>
    </row>
    <row r="14" spans="1:14" ht="15.75" thickBot="1" x14ac:dyDescent="0.3">
      <c r="D14" s="33" t="s">
        <v>23</v>
      </c>
      <c r="E14" s="43">
        <f>SUM(E5:E13)</f>
        <v>135999</v>
      </c>
      <c r="F14" s="43">
        <f>SUM(F5:F13)</f>
        <v>19984</v>
      </c>
      <c r="G14" s="34">
        <f t="shared" ref="G14:L14" si="1">SUM(G5:G12)</f>
        <v>176</v>
      </c>
      <c r="H14" s="34">
        <f t="shared" si="1"/>
        <v>132</v>
      </c>
      <c r="I14" s="34">
        <f t="shared" si="1"/>
        <v>1285</v>
      </c>
      <c r="J14" s="34">
        <f t="shared" si="1"/>
        <v>4236</v>
      </c>
      <c r="K14" s="61">
        <f t="shared" si="1"/>
        <v>33645</v>
      </c>
      <c r="L14" s="61">
        <f t="shared" si="1"/>
        <v>39184.112000000001</v>
      </c>
    </row>
    <row r="15" spans="1:14" x14ac:dyDescent="0.25">
      <c r="F15" s="108"/>
    </row>
  </sheetData>
  <autoFilter ref="A4:N11"/>
  <mergeCells count="1">
    <mergeCell ref="C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N14"/>
  <sheetViews>
    <sheetView workbookViewId="0">
      <selection activeCell="C2" sqref="C2:K2"/>
    </sheetView>
  </sheetViews>
  <sheetFormatPr baseColWidth="10" defaultRowHeight="15" x14ac:dyDescent="0.25"/>
  <cols>
    <col min="1" max="1" width="7.7109375" customWidth="1"/>
    <col min="2" max="2" width="7.5703125" customWidth="1"/>
    <col min="3" max="3" width="27.5703125" bestFit="1" customWidth="1"/>
    <col min="5" max="5" width="12.85546875" bestFit="1" customWidth="1"/>
    <col min="6" max="6" width="14.5703125" bestFit="1" customWidth="1"/>
    <col min="11" max="11" width="11.85546875" bestFit="1" customWidth="1"/>
    <col min="12" max="12" width="13.42578125" customWidth="1"/>
  </cols>
  <sheetData>
    <row r="2" spans="1:14" ht="18.75" x14ac:dyDescent="0.3">
      <c r="C2" s="233" t="s">
        <v>20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14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A5" t="s">
        <v>54</v>
      </c>
      <c r="B5" t="s">
        <v>54</v>
      </c>
      <c r="C5" s="22"/>
      <c r="D5" s="8" t="s">
        <v>73</v>
      </c>
      <c r="E5" s="47">
        <v>51037.2</v>
      </c>
      <c r="F5" s="47">
        <v>9720</v>
      </c>
      <c r="G5" s="11">
        <v>68</v>
      </c>
      <c r="H5" s="8">
        <f>48+4</f>
        <v>52</v>
      </c>
      <c r="I5" s="11">
        <f>126+302</f>
        <v>428</v>
      </c>
      <c r="J5" s="8">
        <v>2345</v>
      </c>
      <c r="K5" s="113">
        <v>11982</v>
      </c>
      <c r="L5" s="122">
        <f>(E5-F5*1.05)*0.34</f>
        <v>13882.608</v>
      </c>
      <c r="M5" s="155" t="s">
        <v>84</v>
      </c>
      <c r="N5" s="155" t="s">
        <v>86</v>
      </c>
    </row>
    <row r="6" spans="1:14" x14ac:dyDescent="0.25">
      <c r="A6" t="s">
        <v>54</v>
      </c>
      <c r="B6" t="s">
        <v>54</v>
      </c>
      <c r="C6" s="22"/>
      <c r="D6" s="8" t="s">
        <v>74</v>
      </c>
      <c r="E6" s="47">
        <v>2578.1</v>
      </c>
      <c r="F6" s="47">
        <v>0</v>
      </c>
      <c r="G6" s="11">
        <v>0</v>
      </c>
      <c r="H6" s="8">
        <v>0</v>
      </c>
      <c r="I6" s="11">
        <v>17</v>
      </c>
      <c r="J6" s="8">
        <v>0</v>
      </c>
      <c r="K6" s="113">
        <v>748</v>
      </c>
      <c r="L6" s="122">
        <f t="shared" ref="L6" si="0">(E6-F6)*0.34</f>
        <v>876.55400000000009</v>
      </c>
      <c r="M6" s="155" t="s">
        <v>84</v>
      </c>
      <c r="N6" s="155" t="s">
        <v>87</v>
      </c>
    </row>
    <row r="7" spans="1:14" x14ac:dyDescent="0.25">
      <c r="A7" t="s">
        <v>54</v>
      </c>
      <c r="B7" t="s">
        <v>54</v>
      </c>
      <c r="C7" s="22"/>
      <c r="D7" s="8" t="s">
        <v>75</v>
      </c>
      <c r="E7" s="47">
        <v>8875</v>
      </c>
      <c r="F7" s="47">
        <v>827</v>
      </c>
      <c r="G7" s="11">
        <v>32</v>
      </c>
      <c r="H7" s="8">
        <v>64</v>
      </c>
      <c r="I7" s="11">
        <v>32</v>
      </c>
      <c r="J7" s="8">
        <v>1083</v>
      </c>
      <c r="K7" s="113">
        <v>2334</v>
      </c>
      <c r="L7" s="122">
        <f>(E7-F7*1.05)*0.34</f>
        <v>2722.261</v>
      </c>
      <c r="M7" s="155" t="s">
        <v>84</v>
      </c>
      <c r="N7" s="155" t="s">
        <v>86</v>
      </c>
    </row>
    <row r="8" spans="1:14" x14ac:dyDescent="0.25">
      <c r="A8" t="s">
        <v>54</v>
      </c>
      <c r="B8" t="s">
        <v>54</v>
      </c>
      <c r="C8" s="22"/>
      <c r="D8" s="8" t="s">
        <v>77</v>
      </c>
      <c r="E8" s="47">
        <v>145000</v>
      </c>
      <c r="F8" s="47">
        <v>26556</v>
      </c>
      <c r="G8" s="11">
        <v>166</v>
      </c>
      <c r="H8" s="8">
        <v>0</v>
      </c>
      <c r="I8" s="11">
        <v>718</v>
      </c>
      <c r="J8" s="8">
        <v>0</v>
      </c>
      <c r="K8" s="113">
        <v>35895.25</v>
      </c>
      <c r="L8" s="122">
        <f>(E8-F8*1.05)*0.34</f>
        <v>39819.508000000002</v>
      </c>
      <c r="M8" s="155" t="s">
        <v>82</v>
      </c>
      <c r="N8" s="155" t="s">
        <v>87</v>
      </c>
    </row>
    <row r="9" spans="1:14" x14ac:dyDescent="0.25">
      <c r="B9" t="s">
        <v>54</v>
      </c>
      <c r="C9" s="22"/>
      <c r="D9" s="8" t="s">
        <v>76</v>
      </c>
      <c r="E9" s="47">
        <v>9000</v>
      </c>
      <c r="F9" s="47">
        <v>8099</v>
      </c>
      <c r="G9" s="11">
        <v>0</v>
      </c>
      <c r="H9" s="8">
        <v>0</v>
      </c>
      <c r="I9" s="11">
        <v>0</v>
      </c>
      <c r="J9" s="8">
        <v>0</v>
      </c>
      <c r="K9" s="113">
        <v>261</v>
      </c>
      <c r="L9" s="122">
        <f>(E9-F9*1.1)*0.34</f>
        <v>30.973999999999506</v>
      </c>
      <c r="M9" s="155" t="s">
        <v>84</v>
      </c>
      <c r="N9" s="155" t="s">
        <v>86</v>
      </c>
    </row>
    <row r="10" spans="1:14" x14ac:dyDescent="0.25">
      <c r="A10" t="s">
        <v>54</v>
      </c>
      <c r="B10" t="s">
        <v>54</v>
      </c>
      <c r="C10" s="22"/>
      <c r="D10" s="8" t="s">
        <v>80</v>
      </c>
      <c r="E10" s="47">
        <v>54259</v>
      </c>
      <c r="F10" s="47">
        <v>22006</v>
      </c>
      <c r="G10" s="11">
        <v>72</v>
      </c>
      <c r="H10" s="8">
        <v>203</v>
      </c>
      <c r="I10" s="11">
        <v>217</v>
      </c>
      <c r="J10" s="8">
        <v>8000</v>
      </c>
      <c r="K10" s="113">
        <v>9353</v>
      </c>
      <c r="L10" s="122">
        <f>(E10-F10*1.03)*0.32</f>
        <v>10109.7024</v>
      </c>
      <c r="M10" s="155" t="s">
        <v>84</v>
      </c>
      <c r="N10" s="155" t="s">
        <v>87</v>
      </c>
    </row>
    <row r="11" spans="1:14" x14ac:dyDescent="0.25">
      <c r="A11" t="s">
        <v>54</v>
      </c>
      <c r="B11" t="s">
        <v>54</v>
      </c>
      <c r="C11" s="22"/>
      <c r="D11" s="8" t="s">
        <v>89</v>
      </c>
      <c r="E11" s="47">
        <v>160500</v>
      </c>
      <c r="F11" s="47">
        <v>53075</v>
      </c>
      <c r="G11" s="11">
        <v>300</v>
      </c>
      <c r="H11" s="8">
        <v>631</v>
      </c>
      <c r="I11" s="11">
        <v>593</v>
      </c>
      <c r="J11" s="8">
        <v>22000</v>
      </c>
      <c r="K11" s="113">
        <v>31153</v>
      </c>
      <c r="L11" s="122">
        <f>(E11-F11*1.03)*0.32</f>
        <v>33866.480000000003</v>
      </c>
      <c r="M11" s="155" t="s">
        <v>82</v>
      </c>
      <c r="N11" s="155" t="s">
        <v>87</v>
      </c>
    </row>
    <row r="12" spans="1:14" x14ac:dyDescent="0.25">
      <c r="A12" t="s">
        <v>54</v>
      </c>
      <c r="B12" t="s">
        <v>54</v>
      </c>
      <c r="C12" s="22"/>
      <c r="D12" s="8" t="s">
        <v>90</v>
      </c>
      <c r="E12" s="47">
        <v>20290.3</v>
      </c>
      <c r="F12" s="47">
        <v>0</v>
      </c>
      <c r="G12" s="11">
        <v>40</v>
      </c>
      <c r="H12" s="8">
        <v>0</v>
      </c>
      <c r="I12" s="11">
        <v>154</v>
      </c>
      <c r="J12" s="8">
        <v>0</v>
      </c>
      <c r="K12" s="113">
        <v>5884</v>
      </c>
      <c r="L12" s="122">
        <f>(E12-F12*1.05)*0.34</f>
        <v>6898.7020000000002</v>
      </c>
      <c r="M12" s="155" t="s">
        <v>82</v>
      </c>
      <c r="N12" s="155" t="s">
        <v>87</v>
      </c>
    </row>
    <row r="13" spans="1:14" ht="15.75" thickBot="1" x14ac:dyDescent="0.3">
      <c r="C13" s="23"/>
      <c r="D13" s="14"/>
      <c r="E13" s="48"/>
      <c r="F13" s="48"/>
      <c r="G13" s="13"/>
      <c r="H13" s="14"/>
      <c r="I13" s="13"/>
      <c r="J13" s="14"/>
      <c r="K13" s="114"/>
      <c r="L13" s="123">
        <f t="shared" ref="L13" si="1">(E13-F13)*0.34</f>
        <v>0</v>
      </c>
      <c r="M13" s="156"/>
      <c r="N13" s="156"/>
    </row>
    <row r="14" spans="1:14" ht="15.75" thickBot="1" x14ac:dyDescent="0.3">
      <c r="D14" s="33" t="s">
        <v>23</v>
      </c>
      <c r="E14" s="43">
        <f>SUM(E5:E13)</f>
        <v>451539.6</v>
      </c>
      <c r="F14" s="43">
        <f>SUM(F5:F13)</f>
        <v>120283</v>
      </c>
      <c r="G14" s="115">
        <f>SUM(G5:G12)</f>
        <v>678</v>
      </c>
      <c r="H14" s="115">
        <f>SUM(H5:H12)</f>
        <v>950</v>
      </c>
      <c r="I14" s="115">
        <f>SUM(I5:I12)</f>
        <v>2159</v>
      </c>
      <c r="J14" s="115">
        <f>SUM(J5:J12)</f>
        <v>33428</v>
      </c>
      <c r="K14" s="61">
        <f>SUM(K5:K12)</f>
        <v>97610.25</v>
      </c>
      <c r="L14" s="124">
        <f>SUM(L5:L13)</f>
        <v>108206.78939999999</v>
      </c>
    </row>
  </sheetData>
  <autoFilter ref="A4:N14"/>
  <mergeCells count="1">
    <mergeCell ref="C2:K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N20"/>
  <sheetViews>
    <sheetView workbookViewId="0">
      <selection activeCell="C2" sqref="C2:K2"/>
    </sheetView>
  </sheetViews>
  <sheetFormatPr baseColWidth="10" defaultRowHeight="15" x14ac:dyDescent="0.25"/>
  <cols>
    <col min="1" max="1" width="5.85546875" customWidth="1"/>
    <col min="2" max="2" width="6.28515625" customWidth="1"/>
    <col min="3" max="3" width="47.42578125" bestFit="1" customWidth="1"/>
    <col min="5" max="5" width="12.85546875" bestFit="1" customWidth="1"/>
    <col min="6" max="6" width="14.5703125" bestFit="1" customWidth="1"/>
    <col min="11" max="12" width="12.85546875" bestFit="1" customWidth="1"/>
  </cols>
  <sheetData>
    <row r="2" spans="1:14" ht="18.75" x14ac:dyDescent="0.3">
      <c r="C2" s="233" t="s">
        <v>19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C4" s="19" t="s">
        <v>14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C5" s="22"/>
      <c r="D5" s="8" t="s">
        <v>92</v>
      </c>
      <c r="E5" s="47">
        <v>6319.6</v>
      </c>
      <c r="F5" s="47">
        <v>493</v>
      </c>
      <c r="G5" s="11">
        <v>8</v>
      </c>
      <c r="H5" s="8">
        <v>3</v>
      </c>
      <c r="I5" s="11">
        <v>72</v>
      </c>
      <c r="J5" s="8">
        <v>60</v>
      </c>
      <c r="K5" s="113">
        <v>1690</v>
      </c>
      <c r="L5" s="122">
        <f>(E5-F5)*0.34</f>
        <v>1981.0440000000003</v>
      </c>
      <c r="M5" s="155" t="s">
        <v>84</v>
      </c>
      <c r="N5" s="155" t="s">
        <v>87</v>
      </c>
    </row>
    <row r="6" spans="1:14" ht="15" customHeight="1" x14ac:dyDescent="0.25">
      <c r="C6" s="22"/>
      <c r="D6" s="8" t="s">
        <v>101</v>
      </c>
      <c r="E6" s="47">
        <v>1579</v>
      </c>
      <c r="F6" s="47">
        <v>263</v>
      </c>
      <c r="G6" s="11">
        <v>0</v>
      </c>
      <c r="H6" s="8">
        <v>8</v>
      </c>
      <c r="I6" s="11">
        <v>1</v>
      </c>
      <c r="J6" s="8">
        <v>100</v>
      </c>
      <c r="K6" s="113">
        <v>382</v>
      </c>
      <c r="L6" s="122">
        <f t="shared" ref="L6:L11" si="0">(E6-F6)*0.34</f>
        <v>447.44000000000005</v>
      </c>
      <c r="M6" s="155" t="s">
        <v>84</v>
      </c>
      <c r="N6" s="155" t="s">
        <v>87</v>
      </c>
    </row>
    <row r="7" spans="1:14" x14ac:dyDescent="0.25">
      <c r="C7" s="22"/>
      <c r="D7" s="8" t="s">
        <v>117</v>
      </c>
      <c r="E7" s="47">
        <v>9666</v>
      </c>
      <c r="F7" s="47">
        <v>771</v>
      </c>
      <c r="G7" s="11">
        <v>34</v>
      </c>
      <c r="H7" s="8">
        <v>144</v>
      </c>
      <c r="I7" s="11">
        <v>48</v>
      </c>
      <c r="J7" s="8">
        <v>1750</v>
      </c>
      <c r="K7" s="113">
        <v>3119</v>
      </c>
      <c r="L7" s="122">
        <f t="shared" si="0"/>
        <v>3024.3</v>
      </c>
      <c r="M7" s="155" t="s">
        <v>84</v>
      </c>
      <c r="N7" s="155" t="s">
        <v>87</v>
      </c>
    </row>
    <row r="8" spans="1:14" x14ac:dyDescent="0.25">
      <c r="C8" s="22"/>
      <c r="D8" s="8" t="s">
        <v>98</v>
      </c>
      <c r="E8" s="47">
        <v>7000</v>
      </c>
      <c r="F8" s="47">
        <v>2259</v>
      </c>
      <c r="G8" s="11">
        <v>10</v>
      </c>
      <c r="H8" s="8">
        <v>40</v>
      </c>
      <c r="I8" s="11">
        <v>40</v>
      </c>
      <c r="J8" s="8">
        <v>1870</v>
      </c>
      <c r="K8" s="113">
        <v>1375</v>
      </c>
      <c r="L8" s="122">
        <f t="shared" si="0"/>
        <v>1611.94</v>
      </c>
      <c r="M8" s="155" t="s">
        <v>107</v>
      </c>
      <c r="N8" s="155" t="s">
        <v>87</v>
      </c>
    </row>
    <row r="9" spans="1:14" x14ac:dyDescent="0.25">
      <c r="C9" s="22"/>
      <c r="D9" s="8" t="s">
        <v>99</v>
      </c>
      <c r="E9" s="47">
        <v>3232</v>
      </c>
      <c r="F9" s="47">
        <v>950</v>
      </c>
      <c r="G9" s="11">
        <v>0</v>
      </c>
      <c r="H9" s="8">
        <v>0</v>
      </c>
      <c r="I9" s="11">
        <v>16</v>
      </c>
      <c r="J9" s="8">
        <v>0</v>
      </c>
      <c r="K9" s="166" t="s">
        <v>100</v>
      </c>
      <c r="L9" s="122">
        <f t="shared" si="0"/>
        <v>775.88000000000011</v>
      </c>
      <c r="M9" s="155" t="s">
        <v>107</v>
      </c>
      <c r="N9" s="155" t="s">
        <v>87</v>
      </c>
    </row>
    <row r="10" spans="1:14" x14ac:dyDescent="0.25">
      <c r="C10" s="22"/>
      <c r="D10" s="8" t="s">
        <v>93</v>
      </c>
      <c r="E10" s="47">
        <v>2961</v>
      </c>
      <c r="F10" s="47">
        <v>149</v>
      </c>
      <c r="G10" s="11">
        <v>12</v>
      </c>
      <c r="H10" s="8">
        <v>18</v>
      </c>
      <c r="I10" s="11">
        <v>16</v>
      </c>
      <c r="J10" s="8">
        <v>300</v>
      </c>
      <c r="K10" s="113">
        <v>815</v>
      </c>
      <c r="L10" s="122">
        <f t="shared" si="0"/>
        <v>956.08</v>
      </c>
      <c r="M10" s="155" t="s">
        <v>84</v>
      </c>
      <c r="N10" s="155" t="s">
        <v>87</v>
      </c>
    </row>
    <row r="11" spans="1:14" x14ac:dyDescent="0.25">
      <c r="C11" s="22"/>
      <c r="D11" s="8" t="s">
        <v>94</v>
      </c>
      <c r="E11" s="47">
        <v>440</v>
      </c>
      <c r="F11" s="47">
        <v>0</v>
      </c>
      <c r="G11" s="11">
        <v>0</v>
      </c>
      <c r="H11" s="8">
        <v>8</v>
      </c>
      <c r="I11" s="11">
        <v>0</v>
      </c>
      <c r="J11" s="8">
        <v>150</v>
      </c>
      <c r="K11" s="113">
        <v>128</v>
      </c>
      <c r="L11" s="122">
        <f t="shared" si="0"/>
        <v>149.60000000000002</v>
      </c>
      <c r="M11" s="155" t="s">
        <v>84</v>
      </c>
      <c r="N11" s="155" t="s">
        <v>87</v>
      </c>
    </row>
    <row r="12" spans="1:14" x14ac:dyDescent="0.25">
      <c r="C12" s="22"/>
      <c r="D12" s="8" t="s">
        <v>95</v>
      </c>
      <c r="E12" s="47">
        <v>390</v>
      </c>
      <c r="F12" s="47">
        <v>0</v>
      </c>
      <c r="G12" s="11">
        <v>0</v>
      </c>
      <c r="H12" s="8">
        <v>0</v>
      </c>
      <c r="I12" s="11">
        <v>8</v>
      </c>
      <c r="J12" s="8">
        <v>0</v>
      </c>
      <c r="K12" s="113">
        <v>113</v>
      </c>
      <c r="L12" s="122">
        <f t="shared" ref="L12:L19" si="1">(E12-F12)*0.34</f>
        <v>132.60000000000002</v>
      </c>
      <c r="M12" s="155" t="s">
        <v>84</v>
      </c>
      <c r="N12" s="155" t="s">
        <v>87</v>
      </c>
    </row>
    <row r="13" spans="1:14" x14ac:dyDescent="0.25">
      <c r="A13" t="s">
        <v>54</v>
      </c>
      <c r="C13" s="22"/>
      <c r="D13" s="8" t="s">
        <v>96</v>
      </c>
      <c r="E13" s="47">
        <v>81692.2</v>
      </c>
      <c r="F13" s="47">
        <v>16365</v>
      </c>
      <c r="G13" s="11">
        <v>160</v>
      </c>
      <c r="H13" s="8">
        <v>351</v>
      </c>
      <c r="I13" s="11">
        <v>840</v>
      </c>
      <c r="J13" s="8">
        <v>7400</v>
      </c>
      <c r="K13" s="113">
        <v>18945</v>
      </c>
      <c r="L13" s="122">
        <f t="shared" si="1"/>
        <v>22211.248</v>
      </c>
      <c r="M13" s="155" t="s">
        <v>84</v>
      </c>
      <c r="N13" s="155" t="s">
        <v>86</v>
      </c>
    </row>
    <row r="14" spans="1:14" x14ac:dyDescent="0.25">
      <c r="C14" s="22"/>
      <c r="D14" s="8" t="s">
        <v>97</v>
      </c>
      <c r="E14" s="47">
        <v>5970</v>
      </c>
      <c r="F14" s="47">
        <v>1178</v>
      </c>
      <c r="G14" s="11">
        <v>32</v>
      </c>
      <c r="H14" s="8">
        <v>16</v>
      </c>
      <c r="I14" s="11">
        <v>48</v>
      </c>
      <c r="J14" s="8">
        <v>330</v>
      </c>
      <c r="K14" s="113">
        <v>1390</v>
      </c>
      <c r="L14" s="122">
        <f t="shared" si="1"/>
        <v>1629.2800000000002</v>
      </c>
      <c r="M14" s="155" t="s">
        <v>82</v>
      </c>
      <c r="N14" s="155" t="s">
        <v>86</v>
      </c>
    </row>
    <row r="15" spans="1:14" x14ac:dyDescent="0.25">
      <c r="C15" s="22"/>
      <c r="D15" s="8" t="s">
        <v>102</v>
      </c>
      <c r="E15" s="47">
        <v>509</v>
      </c>
      <c r="F15" s="47">
        <v>-738</v>
      </c>
      <c r="G15" s="11">
        <v>0</v>
      </c>
      <c r="H15" s="8">
        <v>0</v>
      </c>
      <c r="I15" s="11">
        <v>-14</v>
      </c>
      <c r="J15" s="8">
        <v>-60</v>
      </c>
      <c r="K15" s="113">
        <v>362</v>
      </c>
      <c r="L15" s="122">
        <f t="shared" si="1"/>
        <v>423.98</v>
      </c>
      <c r="M15" s="155" t="s">
        <v>82</v>
      </c>
      <c r="N15" s="155" t="s">
        <v>86</v>
      </c>
    </row>
    <row r="16" spans="1:14" x14ac:dyDescent="0.25">
      <c r="C16" s="22"/>
      <c r="D16" s="8" t="s">
        <v>105</v>
      </c>
      <c r="E16" s="47">
        <v>1600</v>
      </c>
      <c r="F16" s="47">
        <v>90</v>
      </c>
      <c r="G16" s="11">
        <v>4</v>
      </c>
      <c r="H16" s="8">
        <v>16</v>
      </c>
      <c r="I16" s="11">
        <v>16</v>
      </c>
      <c r="J16" s="8">
        <v>120</v>
      </c>
      <c r="K16" s="113">
        <v>438</v>
      </c>
      <c r="L16" s="122">
        <f t="shared" si="1"/>
        <v>513.40000000000009</v>
      </c>
      <c r="M16" s="155" t="s">
        <v>82</v>
      </c>
      <c r="N16" s="155" t="s">
        <v>86</v>
      </c>
    </row>
    <row r="17" spans="3:14" x14ac:dyDescent="0.25">
      <c r="C17" s="22"/>
      <c r="D17" s="8" t="s">
        <v>103</v>
      </c>
      <c r="E17" s="47">
        <v>660</v>
      </c>
      <c r="F17" s="47">
        <v>95</v>
      </c>
      <c r="G17" s="11">
        <v>0</v>
      </c>
      <c r="H17" s="8">
        <v>0</v>
      </c>
      <c r="I17" s="11">
        <v>16</v>
      </c>
      <c r="J17" s="8">
        <v>0</v>
      </c>
      <c r="K17" s="113">
        <v>164</v>
      </c>
      <c r="L17" s="122">
        <f t="shared" si="1"/>
        <v>192.10000000000002</v>
      </c>
      <c r="M17" s="155" t="s">
        <v>108</v>
      </c>
      <c r="N17" s="155" t="s">
        <v>86</v>
      </c>
    </row>
    <row r="18" spans="3:14" x14ac:dyDescent="0.25">
      <c r="C18" s="22"/>
      <c r="D18" s="8" t="s">
        <v>104</v>
      </c>
      <c r="E18" s="47">
        <v>783</v>
      </c>
      <c r="F18" s="47">
        <v>765</v>
      </c>
      <c r="G18" s="11">
        <v>0</v>
      </c>
      <c r="H18" s="8">
        <v>0</v>
      </c>
      <c r="I18" s="11">
        <v>0</v>
      </c>
      <c r="J18" s="8">
        <v>0</v>
      </c>
      <c r="K18" s="113">
        <v>5</v>
      </c>
      <c r="L18" s="122">
        <f t="shared" si="1"/>
        <v>6.12</v>
      </c>
      <c r="M18" s="155" t="s">
        <v>84</v>
      </c>
      <c r="N18" s="155" t="s">
        <v>87</v>
      </c>
    </row>
    <row r="19" spans="3:14" ht="15.75" thickBot="1" x14ac:dyDescent="0.3">
      <c r="C19" s="23"/>
      <c r="D19" s="14"/>
      <c r="E19" s="48"/>
      <c r="F19" s="48"/>
      <c r="G19" s="13"/>
      <c r="H19" s="14"/>
      <c r="I19" s="13"/>
      <c r="J19" s="14"/>
      <c r="K19" s="114"/>
      <c r="L19" s="123">
        <f t="shared" si="1"/>
        <v>0</v>
      </c>
      <c r="M19" s="156"/>
      <c r="N19" s="156"/>
    </row>
    <row r="20" spans="3:14" ht="15.75" thickBot="1" x14ac:dyDescent="0.3">
      <c r="D20" s="33" t="s">
        <v>23</v>
      </c>
      <c r="E20" s="43">
        <f>SUM(E5:E19)</f>
        <v>122801.79999999999</v>
      </c>
      <c r="F20" s="43">
        <f>SUM(F5:F19)</f>
        <v>22640</v>
      </c>
      <c r="G20" s="115">
        <f>SUM(G5:G18)</f>
        <v>260</v>
      </c>
      <c r="H20" s="115">
        <f>SUM(H5:H18)</f>
        <v>604</v>
      </c>
      <c r="I20" s="115">
        <f>SUM(I5:I18)</f>
        <v>1107</v>
      </c>
      <c r="J20" s="115">
        <f>SUM(J5:J18)</f>
        <v>12020</v>
      </c>
      <c r="K20" s="116">
        <f>SUM(K5:K18)</f>
        <v>28926</v>
      </c>
      <c r="L20" s="124">
        <f>SUM(L5:L19)</f>
        <v>34055.01200000001</v>
      </c>
    </row>
  </sheetData>
  <autoFilter ref="C4:N20"/>
  <mergeCells count="1">
    <mergeCell ref="C2:K2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2:N15"/>
  <sheetViews>
    <sheetView workbookViewId="0">
      <selection activeCell="E21" sqref="E21"/>
    </sheetView>
  </sheetViews>
  <sheetFormatPr baseColWidth="10" defaultRowHeight="15" x14ac:dyDescent="0.25"/>
  <cols>
    <col min="1" max="1" width="6.5703125" customWidth="1"/>
    <col min="2" max="2" width="7.42578125" customWidth="1"/>
    <col min="3" max="3" width="36.140625" bestFit="1" customWidth="1"/>
    <col min="5" max="5" width="12.85546875" bestFit="1" customWidth="1"/>
    <col min="6" max="6" width="11.85546875" bestFit="1" customWidth="1"/>
    <col min="11" max="11" width="11.85546875" bestFit="1" customWidth="1"/>
    <col min="12" max="12" width="13.5703125" customWidth="1"/>
  </cols>
  <sheetData>
    <row r="2" spans="1:14" ht="18.75" x14ac:dyDescent="0.3">
      <c r="C2" s="232" t="s">
        <v>123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14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C5" s="22"/>
      <c r="D5" s="8" t="s">
        <v>106</v>
      </c>
      <c r="E5" s="47">
        <v>2887</v>
      </c>
      <c r="F5" s="47">
        <v>54</v>
      </c>
      <c r="G5" s="11">
        <v>8</v>
      </c>
      <c r="H5" s="8">
        <v>24</v>
      </c>
      <c r="I5" s="11">
        <v>24</v>
      </c>
      <c r="J5" s="8">
        <v>120</v>
      </c>
      <c r="K5" s="113">
        <v>822</v>
      </c>
      <c r="L5" s="122">
        <f t="shared" ref="L5:L6" si="0">(E5-F5)*0.34</f>
        <v>963.22</v>
      </c>
      <c r="M5" s="155" t="s">
        <v>82</v>
      </c>
      <c r="N5" s="155" t="s">
        <v>86</v>
      </c>
    </row>
    <row r="6" spans="1:14" x14ac:dyDescent="0.25">
      <c r="A6" t="s">
        <v>54</v>
      </c>
      <c r="C6" s="22"/>
      <c r="D6" s="8" t="s">
        <v>109</v>
      </c>
      <c r="E6" s="47">
        <v>5884</v>
      </c>
      <c r="F6" s="47">
        <v>2820</v>
      </c>
      <c r="G6" s="11">
        <v>4</v>
      </c>
      <c r="H6" s="8">
        <v>8</v>
      </c>
      <c r="I6" s="11">
        <v>19</v>
      </c>
      <c r="J6" s="8">
        <v>170</v>
      </c>
      <c r="K6" s="113">
        <v>888</v>
      </c>
      <c r="L6" s="122">
        <f t="shared" si="0"/>
        <v>1041.76</v>
      </c>
      <c r="M6" s="155" t="s">
        <v>83</v>
      </c>
      <c r="N6" s="155" t="s">
        <v>87</v>
      </c>
    </row>
    <row r="7" spans="1:14" x14ac:dyDescent="0.25">
      <c r="A7" t="s">
        <v>54</v>
      </c>
      <c r="C7" s="22"/>
      <c r="D7" s="8" t="s">
        <v>110</v>
      </c>
      <c r="E7" s="47">
        <v>108361</v>
      </c>
      <c r="F7" s="47">
        <v>7936</v>
      </c>
      <c r="G7" s="11">
        <v>133</v>
      </c>
      <c r="H7" s="8">
        <v>430</v>
      </c>
      <c r="I7" s="11">
        <v>765</v>
      </c>
      <c r="J7" s="8">
        <v>18760</v>
      </c>
      <c r="K7" s="113">
        <v>29123</v>
      </c>
      <c r="L7" s="122">
        <f t="shared" ref="L7:L14" si="1">(E7-F7)*0.34</f>
        <v>34144.5</v>
      </c>
      <c r="M7" s="155" t="s">
        <v>83</v>
      </c>
      <c r="N7" s="155" t="s">
        <v>87</v>
      </c>
    </row>
    <row r="8" spans="1:14" x14ac:dyDescent="0.25">
      <c r="A8" t="s">
        <v>54</v>
      </c>
      <c r="C8" s="22"/>
      <c r="D8" s="8" t="s">
        <v>111</v>
      </c>
      <c r="E8" s="47">
        <v>95012</v>
      </c>
      <c r="F8" s="47">
        <v>34713</v>
      </c>
      <c r="G8" s="11">
        <v>104</v>
      </c>
      <c r="H8" s="8">
        <v>178</v>
      </c>
      <c r="I8" s="11">
        <v>457</v>
      </c>
      <c r="J8" s="8">
        <v>8420</v>
      </c>
      <c r="K8" s="113">
        <v>17487</v>
      </c>
      <c r="L8" s="122">
        <f t="shared" si="1"/>
        <v>20501.66</v>
      </c>
      <c r="M8" s="155" t="s">
        <v>83</v>
      </c>
      <c r="N8" s="155" t="s">
        <v>87</v>
      </c>
    </row>
    <row r="9" spans="1:14" x14ac:dyDescent="0.25">
      <c r="A9" t="s">
        <v>54</v>
      </c>
      <c r="C9" s="22"/>
      <c r="D9" s="8" t="s">
        <v>112</v>
      </c>
      <c r="E9" s="47">
        <v>67052</v>
      </c>
      <c r="F9" s="47">
        <v>20450</v>
      </c>
      <c r="G9" s="11">
        <v>76</v>
      </c>
      <c r="H9" s="8">
        <v>0</v>
      </c>
      <c r="I9" s="11">
        <v>360</v>
      </c>
      <c r="J9" s="8">
        <v>0</v>
      </c>
      <c r="K9" s="113">
        <v>13515</v>
      </c>
      <c r="L9" s="122">
        <f t="shared" si="1"/>
        <v>15844.68</v>
      </c>
      <c r="M9" s="155" t="s">
        <v>82</v>
      </c>
      <c r="N9" s="155" t="s">
        <v>87</v>
      </c>
    </row>
    <row r="10" spans="1:14" x14ac:dyDescent="0.25">
      <c r="A10" t="s">
        <v>54</v>
      </c>
      <c r="C10" s="22"/>
      <c r="D10" s="8" t="s">
        <v>113</v>
      </c>
      <c r="E10" s="47">
        <v>47700</v>
      </c>
      <c r="F10" s="47">
        <v>7263</v>
      </c>
      <c r="G10" s="11">
        <v>21</v>
      </c>
      <c r="H10" s="8">
        <f>311+67</f>
        <v>378</v>
      </c>
      <c r="I10" s="11">
        <v>0</v>
      </c>
      <c r="J10" s="8">
        <v>33380</v>
      </c>
      <c r="K10" s="113">
        <v>11727</v>
      </c>
      <c r="L10" s="122">
        <f t="shared" si="1"/>
        <v>13748.580000000002</v>
      </c>
      <c r="M10" s="155" t="s">
        <v>84</v>
      </c>
      <c r="N10" s="155" t="s">
        <v>87</v>
      </c>
    </row>
    <row r="11" spans="1:14" x14ac:dyDescent="0.25">
      <c r="A11" t="s">
        <v>54</v>
      </c>
      <c r="C11" s="22"/>
      <c r="D11" s="8" t="s">
        <v>114</v>
      </c>
      <c r="E11" s="47">
        <v>50327</v>
      </c>
      <c r="F11" s="47">
        <v>3073</v>
      </c>
      <c r="G11" s="11">
        <v>100</v>
      </c>
      <c r="H11" s="8">
        <f>155+18</f>
        <v>173</v>
      </c>
      <c r="I11" s="11">
        <v>305</v>
      </c>
      <c r="J11" s="8">
        <v>9190</v>
      </c>
      <c r="K11" s="113">
        <v>13704</v>
      </c>
      <c r="L11" s="122">
        <f t="shared" si="1"/>
        <v>16066.36</v>
      </c>
      <c r="M11" s="155" t="s">
        <v>84</v>
      </c>
      <c r="N11" s="155" t="s">
        <v>87</v>
      </c>
    </row>
    <row r="12" spans="1:14" x14ac:dyDescent="0.25">
      <c r="A12" t="s">
        <v>54</v>
      </c>
      <c r="C12" s="168"/>
      <c r="D12" s="28" t="s">
        <v>115</v>
      </c>
      <c r="E12" s="50">
        <v>12678</v>
      </c>
      <c r="F12" s="50">
        <v>0</v>
      </c>
      <c r="G12" s="9">
        <v>20</v>
      </c>
      <c r="H12" s="28">
        <v>0</v>
      </c>
      <c r="I12" s="9">
        <f>36+54</f>
        <v>90</v>
      </c>
      <c r="J12" s="28">
        <v>0</v>
      </c>
      <c r="K12" s="167">
        <v>3676</v>
      </c>
      <c r="L12" s="125">
        <f t="shared" si="1"/>
        <v>4310.5200000000004</v>
      </c>
      <c r="M12" s="165" t="s">
        <v>82</v>
      </c>
      <c r="N12" s="165" t="s">
        <v>87</v>
      </c>
    </row>
    <row r="13" spans="1:14" x14ac:dyDescent="0.25">
      <c r="A13" t="s">
        <v>54</v>
      </c>
      <c r="C13" s="168"/>
      <c r="D13" s="28" t="s">
        <v>116</v>
      </c>
      <c r="E13" s="50">
        <v>680</v>
      </c>
      <c r="F13" s="50">
        <v>0</v>
      </c>
      <c r="G13" s="9">
        <v>0</v>
      </c>
      <c r="H13" s="28">
        <v>0</v>
      </c>
      <c r="I13" s="9">
        <v>16</v>
      </c>
      <c r="J13" s="28">
        <v>0</v>
      </c>
      <c r="K13" s="167">
        <v>197</v>
      </c>
      <c r="L13" s="125">
        <f t="shared" si="1"/>
        <v>231.20000000000002</v>
      </c>
      <c r="M13" s="165" t="s">
        <v>107</v>
      </c>
      <c r="N13" s="165" t="s">
        <v>86</v>
      </c>
    </row>
    <row r="14" spans="1:14" ht="15.75" thickBot="1" x14ac:dyDescent="0.3">
      <c r="C14" s="23"/>
      <c r="D14" s="14"/>
      <c r="E14" s="48"/>
      <c r="F14" s="48"/>
      <c r="G14" s="13"/>
      <c r="H14" s="14"/>
      <c r="I14" s="13"/>
      <c r="J14" s="14"/>
      <c r="K14" s="114"/>
      <c r="L14" s="123">
        <f t="shared" si="1"/>
        <v>0</v>
      </c>
      <c r="M14" s="156"/>
      <c r="N14" s="156"/>
    </row>
    <row r="15" spans="1:14" ht="15.75" thickBot="1" x14ac:dyDescent="0.3">
      <c r="D15" s="33" t="s">
        <v>23</v>
      </c>
      <c r="E15" s="43">
        <f>SUM(E5:E14)</f>
        <v>390581</v>
      </c>
      <c r="F15" s="43">
        <f>SUM(F5:F14)</f>
        <v>76309</v>
      </c>
      <c r="G15" s="34">
        <f>SUM(G5:G13)</f>
        <v>466</v>
      </c>
      <c r="H15" s="34">
        <f>SUM(H5:H10)</f>
        <v>1018</v>
      </c>
      <c r="I15" s="34">
        <f>SUM(I5:I11)</f>
        <v>1930</v>
      </c>
      <c r="J15" s="34">
        <f>SUM(J5:J13)</f>
        <v>70040</v>
      </c>
      <c r="K15" s="36">
        <f>SUM(K5:K13)</f>
        <v>91139</v>
      </c>
      <c r="L15" s="124">
        <f>SUM(L5:L14)</f>
        <v>106852.48000000001</v>
      </c>
    </row>
  </sheetData>
  <autoFilter ref="C4:N15"/>
  <mergeCells count="1">
    <mergeCell ref="C2:K2"/>
  </mergeCells>
  <pageMargins left="0.7" right="0.7" top="0.75" bottom="0.75" header="0.3" footer="0.3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O13"/>
  <sheetViews>
    <sheetView workbookViewId="0">
      <selection activeCell="F11" sqref="F11"/>
    </sheetView>
  </sheetViews>
  <sheetFormatPr baseColWidth="10" defaultRowHeight="15" x14ac:dyDescent="0.25"/>
  <cols>
    <col min="1" max="1" width="5.140625" customWidth="1"/>
    <col min="2" max="2" width="3.140625" customWidth="1"/>
    <col min="3" max="3" width="3.5703125" customWidth="1"/>
    <col min="4" max="4" width="31.140625" bestFit="1" customWidth="1"/>
    <col min="5" max="5" width="13" customWidth="1"/>
    <col min="6" max="7" width="14.42578125" customWidth="1"/>
    <col min="12" max="12" width="14.5703125" customWidth="1"/>
    <col min="13" max="13" width="14.140625" customWidth="1"/>
    <col min="14" max="14" width="13.28515625" customWidth="1"/>
  </cols>
  <sheetData>
    <row r="2" spans="2:15" ht="18.75" x14ac:dyDescent="0.3">
      <c r="D2" s="232" t="s">
        <v>0</v>
      </c>
      <c r="E2" s="233"/>
      <c r="F2" s="233"/>
      <c r="G2" s="233"/>
      <c r="H2" s="233"/>
      <c r="I2" s="233"/>
      <c r="J2" s="233"/>
      <c r="K2" s="233"/>
      <c r="L2" s="233"/>
    </row>
    <row r="3" spans="2:15" ht="15.75" thickBot="1" x14ac:dyDescent="0.3"/>
    <row r="4" spans="2:15" ht="45.75" thickBot="1" x14ac:dyDescent="0.3">
      <c r="B4" t="s">
        <v>42</v>
      </c>
      <c r="C4" t="s">
        <v>43</v>
      </c>
      <c r="D4" s="19" t="s">
        <v>28</v>
      </c>
      <c r="E4" s="5" t="s">
        <v>15</v>
      </c>
      <c r="F4" s="5" t="s">
        <v>25</v>
      </c>
      <c r="G4" s="5" t="s">
        <v>41</v>
      </c>
      <c r="H4" s="103" t="s">
        <v>16</v>
      </c>
      <c r="I4" s="5" t="s">
        <v>17</v>
      </c>
      <c r="J4" s="5" t="s">
        <v>18</v>
      </c>
      <c r="K4" s="5" t="s">
        <v>11</v>
      </c>
      <c r="L4" s="6" t="s">
        <v>91</v>
      </c>
      <c r="M4" s="6" t="s">
        <v>24</v>
      </c>
      <c r="N4" s="157" t="s">
        <v>81</v>
      </c>
      <c r="O4" s="157" t="s">
        <v>85</v>
      </c>
    </row>
    <row r="5" spans="2:15" x14ac:dyDescent="0.25">
      <c r="B5" t="s">
        <v>54</v>
      </c>
      <c r="D5" s="17"/>
      <c r="E5" s="38" t="s">
        <v>120</v>
      </c>
      <c r="F5" s="117">
        <v>8693</v>
      </c>
      <c r="G5" s="44">
        <v>1548</v>
      </c>
      <c r="H5" s="11">
        <v>24</v>
      </c>
      <c r="I5" s="8">
        <v>16</v>
      </c>
      <c r="J5" s="11">
        <v>48</v>
      </c>
      <c r="K5" s="8">
        <v>342</v>
      </c>
      <c r="L5" s="56">
        <v>2072</v>
      </c>
      <c r="M5" s="56">
        <v>2252</v>
      </c>
      <c r="N5" s="163" t="s">
        <v>84</v>
      </c>
      <c r="O5" s="163" t="s">
        <v>87</v>
      </c>
    </row>
    <row r="6" spans="2:15" x14ac:dyDescent="0.25">
      <c r="B6" t="s">
        <v>54</v>
      </c>
      <c r="D6" s="17"/>
      <c r="E6" s="38" t="s">
        <v>118</v>
      </c>
      <c r="F6" s="44">
        <v>5620</v>
      </c>
      <c r="G6" s="44">
        <v>348</v>
      </c>
      <c r="H6" s="11">
        <v>24</v>
      </c>
      <c r="I6" s="8">
        <v>18</v>
      </c>
      <c r="J6" s="11">
        <v>72</v>
      </c>
      <c r="K6" s="8">
        <v>336</v>
      </c>
      <c r="L6" s="56">
        <v>1529</v>
      </c>
      <c r="M6" s="122">
        <f>(F6-G6)*0.34</f>
        <v>1792.48</v>
      </c>
      <c r="N6" s="155" t="s">
        <v>83</v>
      </c>
      <c r="O6" s="155" t="s">
        <v>87</v>
      </c>
    </row>
    <row r="7" spans="2:15" x14ac:dyDescent="0.25">
      <c r="B7" t="s">
        <v>54</v>
      </c>
      <c r="D7" s="17"/>
      <c r="E7" s="38" t="s">
        <v>119</v>
      </c>
      <c r="F7" s="44">
        <v>19691</v>
      </c>
      <c r="G7" s="44">
        <v>2028</v>
      </c>
      <c r="H7" s="11">
        <v>44</v>
      </c>
      <c r="I7" s="8">
        <v>109</v>
      </c>
      <c r="J7" s="11">
        <v>97</v>
      </c>
      <c r="K7" s="8">
        <v>5012</v>
      </c>
      <c r="L7" s="184">
        <v>5122</v>
      </c>
      <c r="M7" s="122">
        <f t="shared" ref="M7:M10" si="0">(F7-G7)*0.34</f>
        <v>6005.42</v>
      </c>
      <c r="N7" s="155" t="s">
        <v>83</v>
      </c>
      <c r="O7" s="155" t="s">
        <v>87</v>
      </c>
    </row>
    <row r="8" spans="2:15" x14ac:dyDescent="0.25">
      <c r="D8" s="17"/>
      <c r="E8" s="38" t="s">
        <v>121</v>
      </c>
      <c r="F8" s="44">
        <v>282320</v>
      </c>
      <c r="G8" s="44">
        <v>94961</v>
      </c>
      <c r="H8" s="11">
        <v>136</v>
      </c>
      <c r="I8" s="8">
        <v>0</v>
      </c>
      <c r="J8" s="11">
        <f>708+555</f>
        <v>1263</v>
      </c>
      <c r="K8" s="8">
        <v>0</v>
      </c>
      <c r="L8" s="56">
        <v>54334</v>
      </c>
      <c r="M8" s="122">
        <f t="shared" si="0"/>
        <v>63702.060000000005</v>
      </c>
      <c r="N8" s="155" t="s">
        <v>82</v>
      </c>
      <c r="O8" s="155" t="s">
        <v>87</v>
      </c>
    </row>
    <row r="9" spans="2:15" x14ac:dyDescent="0.25">
      <c r="D9" s="17"/>
      <c r="E9" s="38"/>
      <c r="F9" s="44"/>
      <c r="G9" s="44"/>
      <c r="H9" s="11"/>
      <c r="I9" s="8"/>
      <c r="J9" s="11"/>
      <c r="K9" s="8"/>
      <c r="L9" s="56"/>
      <c r="M9" s="122">
        <f t="shared" si="0"/>
        <v>0</v>
      </c>
      <c r="N9" s="155"/>
      <c r="O9" s="155"/>
    </row>
    <row r="10" spans="2:15" ht="15.75" thickBot="1" x14ac:dyDescent="0.3">
      <c r="D10" s="18"/>
      <c r="E10" s="39"/>
      <c r="F10" s="45"/>
      <c r="G10" s="45"/>
      <c r="H10" s="13"/>
      <c r="I10" s="14"/>
      <c r="J10" s="13"/>
      <c r="K10" s="14"/>
      <c r="L10" s="32"/>
      <c r="M10" s="122">
        <f t="shared" si="0"/>
        <v>0</v>
      </c>
      <c r="N10" s="156"/>
      <c r="O10" s="156"/>
    </row>
    <row r="11" spans="2:15" ht="15.75" thickBot="1" x14ac:dyDescent="0.3">
      <c r="E11" s="33" t="s">
        <v>23</v>
      </c>
      <c r="F11" s="43">
        <f t="shared" ref="F11:L11" si="1">SUM(F5:F10)</f>
        <v>316324</v>
      </c>
      <c r="G11" s="104">
        <f>SUM(G5:G10)</f>
        <v>98885</v>
      </c>
      <c r="H11" s="34">
        <f t="shared" si="1"/>
        <v>228</v>
      </c>
      <c r="I11" s="34">
        <f t="shared" si="1"/>
        <v>143</v>
      </c>
      <c r="J11" s="34">
        <f t="shared" si="1"/>
        <v>1480</v>
      </c>
      <c r="K11" s="34">
        <f t="shared" si="1"/>
        <v>5690</v>
      </c>
      <c r="L11" s="35">
        <f t="shared" si="1"/>
        <v>63057</v>
      </c>
      <c r="M11" s="164">
        <f>SUM(M5:M5)</f>
        <v>2252</v>
      </c>
      <c r="N11" s="62"/>
    </row>
    <row r="12" spans="2:15" x14ac:dyDescent="0.25">
      <c r="G12" s="106"/>
      <c r="N12" s="62"/>
    </row>
    <row r="13" spans="2:15" x14ac:dyDescent="0.25">
      <c r="N13" s="62"/>
    </row>
  </sheetData>
  <mergeCells count="1">
    <mergeCell ref="D2:L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N14"/>
  <sheetViews>
    <sheetView zoomScaleNormal="100" workbookViewId="0">
      <selection activeCell="H20" sqref="H20"/>
    </sheetView>
  </sheetViews>
  <sheetFormatPr baseColWidth="10" defaultRowHeight="15" x14ac:dyDescent="0.25"/>
  <cols>
    <col min="1" max="2" width="5.85546875" customWidth="1"/>
    <col min="3" max="3" width="26.140625" bestFit="1" customWidth="1"/>
    <col min="4" max="4" width="14.28515625" customWidth="1"/>
    <col min="5" max="6" width="14.7109375" customWidth="1"/>
    <col min="11" max="12" width="12.85546875" bestFit="1" customWidth="1"/>
    <col min="13" max="13" width="12.7109375" customWidth="1"/>
  </cols>
  <sheetData>
    <row r="2" spans="1:14" ht="18.75" x14ac:dyDescent="0.3">
      <c r="C2" s="232" t="s">
        <v>1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28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C5" s="20"/>
      <c r="D5" s="7" t="s">
        <v>122</v>
      </c>
      <c r="E5" s="46">
        <v>42748</v>
      </c>
      <c r="F5" s="46">
        <v>9690</v>
      </c>
      <c r="G5" s="16">
        <v>40</v>
      </c>
      <c r="H5" s="7">
        <v>0</v>
      </c>
      <c r="I5" s="16">
        <f>93+188</f>
        <v>281</v>
      </c>
      <c r="J5" s="7">
        <v>0</v>
      </c>
      <c r="K5" s="55">
        <v>9587</v>
      </c>
      <c r="L5" s="122">
        <f t="shared" ref="L5" si="0">(E5-F5)*0.34</f>
        <v>11239.720000000001</v>
      </c>
      <c r="M5" s="155" t="s">
        <v>82</v>
      </c>
      <c r="N5" s="155" t="s">
        <v>87</v>
      </c>
    </row>
    <row r="6" spans="1:14" x14ac:dyDescent="0.25">
      <c r="C6" s="17"/>
      <c r="D6" s="8"/>
      <c r="E6" s="47"/>
      <c r="F6" s="47"/>
      <c r="G6" s="11"/>
      <c r="H6" s="8"/>
      <c r="I6" s="11"/>
      <c r="J6" s="8"/>
      <c r="K6" s="56"/>
      <c r="L6" s="56"/>
      <c r="M6" s="155"/>
      <c r="N6" s="155"/>
    </row>
    <row r="7" spans="1:14" x14ac:dyDescent="0.25">
      <c r="C7" s="17"/>
      <c r="D7" s="8"/>
      <c r="E7" s="47"/>
      <c r="F7" s="47"/>
      <c r="G7" s="11"/>
      <c r="H7" s="8"/>
      <c r="I7" s="11"/>
      <c r="J7" s="8"/>
      <c r="K7" s="56"/>
      <c r="L7" s="56"/>
      <c r="M7" s="155"/>
      <c r="N7" s="155"/>
    </row>
    <row r="8" spans="1:14" x14ac:dyDescent="0.25">
      <c r="C8" s="10"/>
      <c r="D8" s="8"/>
      <c r="E8" s="47"/>
      <c r="F8" s="47"/>
      <c r="G8" s="11"/>
      <c r="H8" s="8"/>
      <c r="I8" s="11"/>
      <c r="J8" s="8"/>
      <c r="K8" s="56"/>
      <c r="L8" s="56"/>
      <c r="M8" s="155"/>
      <c r="N8" s="155"/>
    </row>
    <row r="9" spans="1:14" x14ac:dyDescent="0.25">
      <c r="C9" s="10"/>
      <c r="D9" s="8"/>
      <c r="E9" s="47"/>
      <c r="F9" s="47"/>
      <c r="G9" s="11"/>
      <c r="H9" s="8"/>
      <c r="I9" s="11"/>
      <c r="J9" s="8"/>
      <c r="K9" s="56"/>
      <c r="L9" s="56"/>
      <c r="M9" s="155"/>
      <c r="N9" s="155"/>
    </row>
    <row r="10" spans="1:14" x14ac:dyDescent="0.25">
      <c r="C10" s="118"/>
      <c r="D10" s="28"/>
      <c r="E10" s="50"/>
      <c r="F10" s="50"/>
      <c r="G10" s="9"/>
      <c r="H10" s="28"/>
      <c r="I10" s="9"/>
      <c r="J10" s="28"/>
      <c r="K10" s="59"/>
      <c r="L10" s="59"/>
      <c r="M10" s="155"/>
      <c r="N10" s="155"/>
    </row>
    <row r="11" spans="1:14" x14ac:dyDescent="0.25">
      <c r="C11" s="10"/>
      <c r="D11" s="8"/>
      <c r="E11" s="47"/>
      <c r="F11" s="47"/>
      <c r="G11" s="11"/>
      <c r="H11" s="8"/>
      <c r="I11" s="11"/>
      <c r="J11" s="8"/>
      <c r="K11" s="56"/>
      <c r="L11" s="56"/>
      <c r="M11" s="155"/>
      <c r="N11" s="155"/>
    </row>
    <row r="12" spans="1:14" ht="15.75" thickBot="1" x14ac:dyDescent="0.3">
      <c r="C12" s="12"/>
      <c r="D12" s="14"/>
      <c r="E12" s="48"/>
      <c r="F12" s="48"/>
      <c r="G12" s="13"/>
      <c r="H12" s="14"/>
      <c r="I12" s="13"/>
      <c r="J12" s="14"/>
      <c r="K12" s="15"/>
      <c r="L12" s="15"/>
      <c r="M12" s="156"/>
      <c r="N12" s="156"/>
    </row>
    <row r="13" spans="1:14" ht="15.75" thickBot="1" x14ac:dyDescent="0.3">
      <c r="D13" s="33" t="s">
        <v>23</v>
      </c>
      <c r="E13" s="43">
        <f>SUM(E5:E12)</f>
        <v>42748</v>
      </c>
      <c r="F13" s="43">
        <f>SUM(F5:F12)</f>
        <v>9690</v>
      </c>
      <c r="G13" s="34">
        <f>SUM(G5:G12)</f>
        <v>40</v>
      </c>
      <c r="H13" s="34">
        <f t="shared" ref="H13:I13" si="1">SUM(H5:H12)</f>
        <v>0</v>
      </c>
      <c r="I13" s="34">
        <f t="shared" si="1"/>
        <v>281</v>
      </c>
      <c r="J13" s="34">
        <f>SUM(J5:J12)</f>
        <v>0</v>
      </c>
      <c r="K13" s="61">
        <f>SUM(K5:K12)</f>
        <v>9587</v>
      </c>
      <c r="L13" s="61">
        <f>SUM(L5:L12)</f>
        <v>11239.720000000001</v>
      </c>
    </row>
    <row r="14" spans="1:14" x14ac:dyDescent="0.25">
      <c r="F14" s="108"/>
    </row>
  </sheetData>
  <autoFilter ref="A4:M4"/>
  <mergeCells count="1">
    <mergeCell ref="C2:K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N15"/>
  <sheetViews>
    <sheetView workbookViewId="0">
      <selection activeCell="I19" sqref="I19"/>
    </sheetView>
  </sheetViews>
  <sheetFormatPr baseColWidth="10" defaultRowHeight="15" x14ac:dyDescent="0.25"/>
  <cols>
    <col min="1" max="1" width="6.5703125" customWidth="1"/>
    <col min="2" max="2" width="5.5703125" customWidth="1"/>
    <col min="3" max="3" width="25.7109375" customWidth="1"/>
    <col min="4" max="4" width="14.28515625" customWidth="1"/>
    <col min="5" max="6" width="14.85546875" customWidth="1"/>
    <col min="11" max="11" width="12.7109375" customWidth="1"/>
    <col min="12" max="12" width="12.85546875" bestFit="1" customWidth="1"/>
    <col min="13" max="13" width="13.28515625" customWidth="1"/>
  </cols>
  <sheetData>
    <row r="2" spans="1:14" ht="18.75" x14ac:dyDescent="0.3">
      <c r="C2" s="232" t="s">
        <v>2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28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C5" s="21"/>
      <c r="D5" s="7"/>
      <c r="E5" s="46"/>
      <c r="F5" s="46"/>
      <c r="G5" s="16"/>
      <c r="H5" s="7"/>
      <c r="I5" s="16"/>
      <c r="J5" s="7"/>
      <c r="K5" s="55"/>
      <c r="L5" s="121"/>
      <c r="M5" s="155"/>
      <c r="N5" s="155" t="s">
        <v>86</v>
      </c>
    </row>
    <row r="6" spans="1:14" x14ac:dyDescent="0.25">
      <c r="C6" s="22"/>
      <c r="D6" s="8"/>
      <c r="E6" s="47"/>
      <c r="F6" s="47"/>
      <c r="G6" s="11"/>
      <c r="H6" s="8"/>
      <c r="I6" s="11"/>
      <c r="J6" s="8"/>
      <c r="K6" s="56"/>
      <c r="L6" s="122"/>
      <c r="M6" s="155"/>
      <c r="N6" s="155" t="s">
        <v>87</v>
      </c>
    </row>
    <row r="7" spans="1:14" x14ac:dyDescent="0.25">
      <c r="C7" s="22"/>
      <c r="D7" s="8"/>
      <c r="E7" s="47"/>
      <c r="F7" s="47"/>
      <c r="G7" s="11"/>
      <c r="H7" s="8"/>
      <c r="I7" s="11"/>
      <c r="J7" s="8"/>
      <c r="K7" s="56"/>
      <c r="L7" s="122"/>
      <c r="M7" s="155"/>
      <c r="N7" s="155"/>
    </row>
    <row r="8" spans="1:14" x14ac:dyDescent="0.25">
      <c r="C8" s="22"/>
      <c r="D8" s="8"/>
      <c r="E8" s="47"/>
      <c r="F8" s="47"/>
      <c r="G8" s="11"/>
      <c r="H8" s="8"/>
      <c r="I8" s="11"/>
      <c r="J8" s="8"/>
      <c r="K8" s="56"/>
      <c r="L8" s="122"/>
      <c r="M8" s="155"/>
      <c r="N8" s="155"/>
    </row>
    <row r="9" spans="1:14" x14ac:dyDescent="0.25">
      <c r="C9" s="22"/>
      <c r="D9" s="8"/>
      <c r="E9" s="47"/>
      <c r="F9" s="47"/>
      <c r="G9" s="11"/>
      <c r="H9" s="8"/>
      <c r="I9" s="11"/>
      <c r="J9" s="8"/>
      <c r="K9" s="56"/>
      <c r="L9" s="122"/>
      <c r="M9" s="155"/>
      <c r="N9" s="155"/>
    </row>
    <row r="10" spans="1:14" x14ac:dyDescent="0.25">
      <c r="C10" s="22"/>
      <c r="D10" s="8"/>
      <c r="E10" s="47"/>
      <c r="F10" s="47"/>
      <c r="G10" s="11"/>
      <c r="H10" s="8"/>
      <c r="I10" s="11"/>
      <c r="J10" s="8"/>
      <c r="K10" s="56"/>
      <c r="L10" s="122"/>
      <c r="M10" s="155"/>
      <c r="N10" s="155"/>
    </row>
    <row r="11" spans="1:14" x14ac:dyDescent="0.25">
      <c r="C11" s="22"/>
      <c r="D11" s="8"/>
      <c r="E11" s="47"/>
      <c r="F11" s="47"/>
      <c r="G11" s="11"/>
      <c r="H11" s="8"/>
      <c r="I11" s="11"/>
      <c r="J11" s="8"/>
      <c r="K11" s="56"/>
      <c r="L11" s="122"/>
      <c r="M11" s="155"/>
      <c r="N11" s="155"/>
    </row>
    <row r="12" spans="1:14" x14ac:dyDescent="0.25">
      <c r="C12" s="119"/>
      <c r="D12" s="28"/>
      <c r="E12" s="50"/>
      <c r="F12" s="50"/>
      <c r="G12" s="9"/>
      <c r="H12" s="28"/>
      <c r="I12" s="9"/>
      <c r="J12" s="28"/>
      <c r="K12" s="59"/>
      <c r="L12" s="122"/>
      <c r="M12" s="155"/>
      <c r="N12" s="155"/>
    </row>
    <row r="13" spans="1:14" ht="15.75" thickBot="1" x14ac:dyDescent="0.3">
      <c r="C13" s="23"/>
      <c r="D13" s="14"/>
      <c r="E13" s="48"/>
      <c r="F13" s="48"/>
      <c r="G13" s="13"/>
      <c r="H13" s="14"/>
      <c r="I13" s="13"/>
      <c r="J13" s="14"/>
      <c r="K13" s="15"/>
      <c r="L13" s="123"/>
      <c r="M13" s="156"/>
      <c r="N13" s="156"/>
    </row>
    <row r="14" spans="1:14" ht="15.75" thickBot="1" x14ac:dyDescent="0.3">
      <c r="D14" s="33" t="s">
        <v>23</v>
      </c>
      <c r="E14" s="43">
        <f>SUM(E5:E13)</f>
        <v>0</v>
      </c>
      <c r="F14" s="43">
        <f>SUM(F5:F13)</f>
        <v>0</v>
      </c>
      <c r="G14" s="34">
        <f>SUM(G5:G12)</f>
        <v>0</v>
      </c>
      <c r="H14" s="34">
        <f t="shared" ref="H14:K14" si="0">SUM(H5:H12)</f>
        <v>0</v>
      </c>
      <c r="I14" s="34">
        <f t="shared" si="0"/>
        <v>0</v>
      </c>
      <c r="J14" s="34">
        <f t="shared" si="0"/>
        <v>0</v>
      </c>
      <c r="K14" s="61">
        <f t="shared" si="0"/>
        <v>0</v>
      </c>
      <c r="L14" s="124">
        <f>SUM(L5:L13)</f>
        <v>0</v>
      </c>
    </row>
    <row r="15" spans="1:14" x14ac:dyDescent="0.25">
      <c r="F15" s="108"/>
    </row>
  </sheetData>
  <autoFilter ref="A4:M4"/>
  <mergeCells count="1">
    <mergeCell ref="C2:K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N16"/>
  <sheetViews>
    <sheetView zoomScaleNormal="100" workbookViewId="0">
      <selection activeCell="G34" sqref="G34"/>
    </sheetView>
  </sheetViews>
  <sheetFormatPr baseColWidth="10" defaultRowHeight="15" x14ac:dyDescent="0.25"/>
  <cols>
    <col min="1" max="1" width="7" customWidth="1"/>
    <col min="2" max="2" width="7.5703125" customWidth="1"/>
    <col min="3" max="3" width="29.28515625" customWidth="1"/>
    <col min="4" max="4" width="15.5703125" customWidth="1"/>
    <col min="5" max="6" width="14.7109375" customWidth="1"/>
    <col min="11" max="11" width="13.42578125" customWidth="1"/>
    <col min="12" max="12" width="14" bestFit="1" customWidth="1"/>
    <col min="13" max="13" width="12.28515625" customWidth="1"/>
  </cols>
  <sheetData>
    <row r="2" spans="1:14" ht="18.75" x14ac:dyDescent="0.3">
      <c r="C2" s="232" t="s">
        <v>3</v>
      </c>
      <c r="D2" s="233"/>
      <c r="E2" s="233"/>
      <c r="F2" s="233"/>
      <c r="G2" s="233"/>
      <c r="H2" s="233"/>
      <c r="I2" s="233"/>
      <c r="J2" s="233"/>
      <c r="K2" s="233"/>
    </row>
    <row r="3" spans="1:14" ht="15.75" thickBot="1" x14ac:dyDescent="0.3"/>
    <row r="4" spans="1:14" ht="45.75" thickBot="1" x14ac:dyDescent="0.3">
      <c r="A4" t="s">
        <v>42</v>
      </c>
      <c r="B4" t="s">
        <v>43</v>
      </c>
      <c r="C4" s="19" t="s">
        <v>28</v>
      </c>
      <c r="D4" s="5" t="s">
        <v>15</v>
      </c>
      <c r="E4" s="5" t="s">
        <v>25</v>
      </c>
      <c r="F4" s="5" t="s">
        <v>41</v>
      </c>
      <c r="G4" s="5" t="s">
        <v>16</v>
      </c>
      <c r="H4" s="5" t="s">
        <v>17</v>
      </c>
      <c r="I4" s="5" t="s">
        <v>18</v>
      </c>
      <c r="J4" s="5" t="s">
        <v>11</v>
      </c>
      <c r="K4" s="6" t="s">
        <v>91</v>
      </c>
      <c r="L4" s="6" t="s">
        <v>24</v>
      </c>
      <c r="M4" s="157" t="s">
        <v>81</v>
      </c>
      <c r="N4" s="157" t="s">
        <v>85</v>
      </c>
    </row>
    <row r="5" spans="1:14" x14ac:dyDescent="0.25">
      <c r="C5" s="21"/>
      <c r="D5" s="7"/>
      <c r="E5" s="46"/>
      <c r="F5" s="46"/>
      <c r="G5" s="16"/>
      <c r="H5" s="7"/>
      <c r="I5" s="16"/>
      <c r="J5" s="7"/>
      <c r="K5" s="55"/>
      <c r="L5" s="121"/>
      <c r="M5" s="163"/>
      <c r="N5" s="155" t="s">
        <v>86</v>
      </c>
    </row>
    <row r="6" spans="1:14" x14ac:dyDescent="0.25">
      <c r="C6" s="119"/>
      <c r="D6" s="28"/>
      <c r="E6" s="50"/>
      <c r="F6" s="50"/>
      <c r="G6" s="9"/>
      <c r="H6" s="28"/>
      <c r="I6" s="9"/>
      <c r="J6" s="28"/>
      <c r="K6" s="59"/>
      <c r="L6" s="125"/>
      <c r="M6" s="155"/>
      <c r="N6" s="155" t="s">
        <v>87</v>
      </c>
    </row>
    <row r="7" spans="1:14" x14ac:dyDescent="0.25">
      <c r="C7" s="126"/>
      <c r="D7" s="28"/>
      <c r="E7" s="50"/>
      <c r="F7" s="50"/>
      <c r="G7" s="9"/>
      <c r="H7" s="28"/>
      <c r="I7" s="9"/>
      <c r="J7" s="28"/>
      <c r="K7" s="59"/>
      <c r="L7" s="122"/>
      <c r="M7" s="155"/>
      <c r="N7" s="155"/>
    </row>
    <row r="8" spans="1:14" x14ac:dyDescent="0.25">
      <c r="C8" s="120"/>
      <c r="D8" s="8"/>
      <c r="E8" s="47"/>
      <c r="F8" s="47"/>
      <c r="G8" s="11"/>
      <c r="H8" s="8"/>
      <c r="I8" s="11"/>
      <c r="J8" s="8"/>
      <c r="K8" s="56"/>
      <c r="L8" s="122"/>
      <c r="M8" s="155"/>
      <c r="N8" s="155"/>
    </row>
    <row r="9" spans="1:14" x14ac:dyDescent="0.25">
      <c r="C9" s="22"/>
      <c r="D9" s="8"/>
      <c r="E9" s="47"/>
      <c r="F9" s="47"/>
      <c r="G9" s="11"/>
      <c r="H9" s="8"/>
      <c r="I9" s="11"/>
      <c r="J9" s="8"/>
      <c r="K9" s="56"/>
      <c r="L9" s="122"/>
      <c r="M9" s="155"/>
      <c r="N9" s="155"/>
    </row>
    <row r="10" spans="1:14" x14ac:dyDescent="0.25">
      <c r="C10" s="22"/>
      <c r="D10" s="8"/>
      <c r="E10" s="47"/>
      <c r="F10" s="47"/>
      <c r="G10" s="11"/>
      <c r="H10" s="8"/>
      <c r="I10" s="11"/>
      <c r="J10" s="8"/>
      <c r="K10" s="56"/>
      <c r="L10" s="122"/>
      <c r="M10" s="155"/>
      <c r="N10" s="155"/>
    </row>
    <row r="11" spans="1:14" x14ac:dyDescent="0.25">
      <c r="C11" s="22"/>
      <c r="D11" s="8"/>
      <c r="E11" s="47"/>
      <c r="F11" s="47"/>
      <c r="G11" s="11"/>
      <c r="H11" s="8"/>
      <c r="I11" s="11"/>
      <c r="J11" s="8"/>
      <c r="K11" s="56"/>
      <c r="L11" s="122"/>
      <c r="M11" s="155"/>
      <c r="N11" s="155"/>
    </row>
    <row r="12" spans="1:14" x14ac:dyDescent="0.25">
      <c r="C12" s="22"/>
      <c r="D12" s="8"/>
      <c r="E12" s="47"/>
      <c r="F12" s="47"/>
      <c r="G12" s="11"/>
      <c r="H12" s="8"/>
      <c r="I12" s="11"/>
      <c r="J12" s="8"/>
      <c r="K12" s="56"/>
      <c r="L12" s="122"/>
      <c r="M12" s="155"/>
      <c r="N12" s="155"/>
    </row>
    <row r="13" spans="1:14" x14ac:dyDescent="0.25">
      <c r="C13" s="22"/>
      <c r="D13" s="8"/>
      <c r="E13" s="47"/>
      <c r="F13" s="47"/>
      <c r="G13" s="11"/>
      <c r="H13" s="8"/>
      <c r="I13" s="11"/>
      <c r="J13" s="8"/>
      <c r="K13" s="56"/>
      <c r="L13" s="122"/>
      <c r="M13" s="155"/>
      <c r="N13" s="155"/>
    </row>
    <row r="14" spans="1:14" ht="15.75" thickBot="1" x14ac:dyDescent="0.3">
      <c r="C14" s="23"/>
      <c r="D14" s="14"/>
      <c r="E14" s="48"/>
      <c r="F14" s="48"/>
      <c r="G14" s="13"/>
      <c r="H14" s="14"/>
      <c r="I14" s="13"/>
      <c r="J14" s="14"/>
      <c r="K14" s="15"/>
      <c r="L14" s="123"/>
      <c r="M14" s="156"/>
      <c r="N14" s="156"/>
    </row>
    <row r="15" spans="1:14" ht="15.75" thickBot="1" x14ac:dyDescent="0.3">
      <c r="D15" s="33" t="s">
        <v>23</v>
      </c>
      <c r="E15" s="43">
        <f>SUM(E5:E14)</f>
        <v>0</v>
      </c>
      <c r="F15" s="43">
        <f>SUM(F5:F14)</f>
        <v>0</v>
      </c>
      <c r="G15" s="34">
        <f>SUM(G5:G13)</f>
        <v>0</v>
      </c>
      <c r="H15" s="34">
        <f>SUM(H5:H12)</f>
        <v>0</v>
      </c>
      <c r="I15" s="34">
        <f>SUM(I5:I13)</f>
        <v>0</v>
      </c>
      <c r="J15" s="34">
        <f>SUM(J5:J13)</f>
        <v>0</v>
      </c>
      <c r="K15" s="36">
        <f>SUM(K5:K13)</f>
        <v>0</v>
      </c>
      <c r="L15" s="124">
        <f>SUM(L5:L14)</f>
        <v>0</v>
      </c>
    </row>
    <row r="16" spans="1:14" x14ac:dyDescent="0.25">
      <c r="F16" s="108"/>
    </row>
  </sheetData>
  <autoFilter ref="A4:M4"/>
  <mergeCells count="1">
    <mergeCell ref="C2:K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N61"/>
  <sheetViews>
    <sheetView zoomScale="90" zoomScaleNormal="90" workbookViewId="0">
      <selection activeCell="C54" sqref="C54"/>
    </sheetView>
  </sheetViews>
  <sheetFormatPr baseColWidth="10" defaultRowHeight="15" x14ac:dyDescent="0.25"/>
  <cols>
    <col min="1" max="1" width="8.28515625" customWidth="1"/>
    <col min="2" max="2" width="14.5703125" customWidth="1"/>
    <col min="3" max="3" width="49" customWidth="1"/>
    <col min="4" max="4" width="14" customWidth="1"/>
    <col min="5" max="6" width="14.42578125" customWidth="1"/>
    <col min="11" max="12" width="13.5703125" customWidth="1"/>
    <col min="13" max="13" width="13" customWidth="1"/>
    <col min="14" max="14" width="9.85546875" customWidth="1"/>
  </cols>
  <sheetData>
    <row r="2" spans="2:14" ht="15.75" thickBot="1" x14ac:dyDescent="0.3"/>
    <row r="3" spans="2:14" ht="45.75" thickBot="1" x14ac:dyDescent="0.3">
      <c r="C3" s="19" t="s">
        <v>28</v>
      </c>
      <c r="D3" s="5" t="s">
        <v>15</v>
      </c>
      <c r="E3" s="5" t="s">
        <v>25</v>
      </c>
      <c r="F3" s="5" t="s">
        <v>41</v>
      </c>
      <c r="G3" s="5" t="s">
        <v>16</v>
      </c>
      <c r="H3" s="5" t="s">
        <v>17</v>
      </c>
      <c r="I3" s="5" t="s">
        <v>18</v>
      </c>
      <c r="J3" s="5" t="s">
        <v>11</v>
      </c>
      <c r="K3" s="135" t="s">
        <v>91</v>
      </c>
      <c r="L3" s="134" t="s">
        <v>24</v>
      </c>
      <c r="M3" s="157" t="s">
        <v>81</v>
      </c>
      <c r="N3" s="157" t="s">
        <v>85</v>
      </c>
    </row>
    <row r="4" spans="2:14" x14ac:dyDescent="0.25">
      <c r="B4" s="237" t="s">
        <v>4</v>
      </c>
      <c r="C4" s="175"/>
      <c r="D4" s="7" t="s">
        <v>62</v>
      </c>
      <c r="E4" s="127">
        <v>53762</v>
      </c>
      <c r="F4" s="127">
        <v>18238</v>
      </c>
      <c r="G4" s="16">
        <v>80</v>
      </c>
      <c r="H4" s="7">
        <f>212</f>
        <v>212</v>
      </c>
      <c r="I4" s="16">
        <v>226</v>
      </c>
      <c r="J4" s="7">
        <v>7010</v>
      </c>
      <c r="K4" s="131">
        <v>9865</v>
      </c>
      <c r="L4" s="133">
        <f>(E4-F4*1.05)*0.34</f>
        <v>11768.114</v>
      </c>
      <c r="M4" s="155" t="s">
        <v>82</v>
      </c>
      <c r="N4" s="155" t="s">
        <v>86</v>
      </c>
    </row>
    <row r="5" spans="2:14" x14ac:dyDescent="0.25">
      <c r="B5" s="238"/>
      <c r="C5" s="169"/>
      <c r="D5" s="8" t="s">
        <v>44</v>
      </c>
      <c r="E5" s="128">
        <v>66300</v>
      </c>
      <c r="F5" s="128">
        <v>5608</v>
      </c>
      <c r="G5" s="11">
        <v>88</v>
      </c>
      <c r="H5" s="8">
        <f>429+32</f>
        <v>461</v>
      </c>
      <c r="I5" s="11">
        <v>433</v>
      </c>
      <c r="J5" s="8">
        <v>9660</v>
      </c>
      <c r="K5" s="130">
        <v>17601</v>
      </c>
      <c r="L5" s="133">
        <f>(E5-F5*1.05)*0.34</f>
        <v>20539.944</v>
      </c>
      <c r="M5" s="155" t="s">
        <v>83</v>
      </c>
      <c r="N5" s="155" t="s">
        <v>87</v>
      </c>
    </row>
    <row r="6" spans="2:14" x14ac:dyDescent="0.25">
      <c r="B6" s="238"/>
      <c r="C6" s="169"/>
      <c r="D6" s="8" t="s">
        <v>47</v>
      </c>
      <c r="E6" s="128">
        <v>338948</v>
      </c>
      <c r="F6" s="128">
        <v>72124</v>
      </c>
      <c r="G6" s="11">
        <v>236</v>
      </c>
      <c r="H6" s="8">
        <v>472</v>
      </c>
      <c r="I6" s="11">
        <f>266+1638</f>
        <v>1904</v>
      </c>
      <c r="J6" s="8">
        <v>10680</v>
      </c>
      <c r="K6" s="130">
        <v>77379</v>
      </c>
      <c r="L6" s="133">
        <f>(E6-F6*1.05)*0.292</f>
        <v>76859.597599999994</v>
      </c>
      <c r="M6" s="155" t="s">
        <v>84</v>
      </c>
      <c r="N6" s="155" t="s">
        <v>86</v>
      </c>
    </row>
    <row r="7" spans="2:14" x14ac:dyDescent="0.25">
      <c r="B7" s="238"/>
      <c r="C7" s="169"/>
      <c r="D7" s="8" t="s">
        <v>45</v>
      </c>
      <c r="E7" s="128">
        <v>30012</v>
      </c>
      <c r="F7" s="128">
        <v>0</v>
      </c>
      <c r="G7" s="11">
        <v>8</v>
      </c>
      <c r="H7" s="8">
        <v>0</v>
      </c>
      <c r="I7" s="11">
        <v>382</v>
      </c>
      <c r="J7" s="8">
        <v>0</v>
      </c>
      <c r="K7" s="130">
        <v>8703</v>
      </c>
      <c r="L7" s="133">
        <f>(E7-F7*1.05)*0.34</f>
        <v>10204.08</v>
      </c>
      <c r="M7" s="155" t="s">
        <v>83</v>
      </c>
      <c r="N7" s="155" t="s">
        <v>87</v>
      </c>
    </row>
    <row r="8" spans="2:14" x14ac:dyDescent="0.25">
      <c r="B8" s="238"/>
      <c r="C8" s="169"/>
      <c r="D8" s="8" t="s">
        <v>46</v>
      </c>
      <c r="E8" s="128">
        <v>13777</v>
      </c>
      <c r="F8" s="128">
        <v>1000</v>
      </c>
      <c r="G8" s="11">
        <v>48</v>
      </c>
      <c r="H8" s="8">
        <v>0</v>
      </c>
      <c r="I8" s="11">
        <v>141</v>
      </c>
      <c r="J8" s="8">
        <v>0</v>
      </c>
      <c r="K8" s="130">
        <v>3705</v>
      </c>
      <c r="L8" s="133">
        <f>(E8-F8*1.05)*0.34</f>
        <v>4327.18</v>
      </c>
      <c r="M8" s="155" t="s">
        <v>82</v>
      </c>
      <c r="N8" s="155" t="s">
        <v>86</v>
      </c>
    </row>
    <row r="9" spans="2:14" ht="15.75" thickBot="1" x14ac:dyDescent="0.3">
      <c r="B9" s="239"/>
      <c r="C9" s="169"/>
      <c r="D9" s="8" t="s">
        <v>48</v>
      </c>
      <c r="E9" s="128">
        <v>3630</v>
      </c>
      <c r="F9" s="128">
        <v>2216</v>
      </c>
      <c r="G9" s="11">
        <v>0</v>
      </c>
      <c r="H9" s="8">
        <v>0</v>
      </c>
      <c r="I9" s="11">
        <v>0</v>
      </c>
      <c r="J9" s="8">
        <v>0</v>
      </c>
      <c r="K9" s="130">
        <v>410</v>
      </c>
      <c r="L9" s="133">
        <f>(E9-F9)*0.34</f>
        <v>480.76000000000005</v>
      </c>
      <c r="M9" s="156" t="s">
        <v>83</v>
      </c>
      <c r="N9" s="156" t="s">
        <v>86</v>
      </c>
    </row>
    <row r="10" spans="2:14" x14ac:dyDescent="0.25">
      <c r="B10" s="234" t="s">
        <v>5</v>
      </c>
      <c r="C10" s="176"/>
      <c r="D10" s="40" t="s">
        <v>49</v>
      </c>
      <c r="E10" s="49">
        <v>16500</v>
      </c>
      <c r="F10" s="49">
        <v>121</v>
      </c>
      <c r="G10" s="26">
        <v>42</v>
      </c>
      <c r="H10" s="25">
        <v>85</v>
      </c>
      <c r="I10" s="26">
        <v>224</v>
      </c>
      <c r="J10" s="25">
        <v>890</v>
      </c>
      <c r="K10" s="58">
        <v>4750</v>
      </c>
      <c r="L10" s="147">
        <f>(E10-F10*1.05)*0.34</f>
        <v>5566.8030000000008</v>
      </c>
      <c r="M10" s="155" t="s">
        <v>84</v>
      </c>
      <c r="N10" s="155" t="s">
        <v>87</v>
      </c>
    </row>
    <row r="11" spans="2:14" x14ac:dyDescent="0.25">
      <c r="B11" s="235"/>
      <c r="C11" s="126"/>
      <c r="D11" s="37" t="s">
        <v>51</v>
      </c>
      <c r="E11" s="50">
        <v>9565</v>
      </c>
      <c r="F11" s="50">
        <v>0</v>
      </c>
      <c r="G11" s="9">
        <v>12</v>
      </c>
      <c r="H11" s="31">
        <v>0</v>
      </c>
      <c r="I11" s="9">
        <v>128</v>
      </c>
      <c r="J11" s="28">
        <v>0</v>
      </c>
      <c r="K11" s="59">
        <v>2774</v>
      </c>
      <c r="L11" s="151">
        <f t="shared" ref="L11:L13" si="0">(E11-F11)*0.34</f>
        <v>3252.1000000000004</v>
      </c>
      <c r="M11" s="155" t="s">
        <v>83</v>
      </c>
      <c r="N11" s="155" t="s">
        <v>86</v>
      </c>
    </row>
    <row r="12" spans="2:14" x14ac:dyDescent="0.25">
      <c r="B12" s="235"/>
      <c r="C12" s="177"/>
      <c r="D12" s="37" t="s">
        <v>52</v>
      </c>
      <c r="E12" s="50">
        <v>1980</v>
      </c>
      <c r="F12" s="50">
        <v>26</v>
      </c>
      <c r="G12" s="9">
        <v>8</v>
      </c>
      <c r="H12" s="28">
        <v>20</v>
      </c>
      <c r="I12" s="9">
        <v>16</v>
      </c>
      <c r="J12" s="28">
        <v>160</v>
      </c>
      <c r="K12" s="59">
        <v>567</v>
      </c>
      <c r="L12" s="151">
        <f t="shared" si="0"/>
        <v>664.36</v>
      </c>
      <c r="M12" s="155" t="s">
        <v>83</v>
      </c>
      <c r="N12" s="155" t="s">
        <v>86</v>
      </c>
    </row>
    <row r="13" spans="2:14" x14ac:dyDescent="0.25">
      <c r="B13" s="235"/>
      <c r="C13" s="126"/>
      <c r="D13" s="37" t="s">
        <v>53</v>
      </c>
      <c r="E13" s="50">
        <v>26500</v>
      </c>
      <c r="F13" s="50">
        <v>0</v>
      </c>
      <c r="G13" s="9">
        <v>80</v>
      </c>
      <c r="H13" s="28">
        <v>0</v>
      </c>
      <c r="I13" s="9">
        <v>300</v>
      </c>
      <c r="J13" s="28">
        <v>0</v>
      </c>
      <c r="K13" s="59">
        <v>7685</v>
      </c>
      <c r="L13" s="151">
        <f t="shared" si="0"/>
        <v>9010</v>
      </c>
      <c r="M13" s="155" t="s">
        <v>83</v>
      </c>
      <c r="N13" s="155" t="s">
        <v>87</v>
      </c>
    </row>
    <row r="14" spans="2:14" x14ac:dyDescent="0.25">
      <c r="B14" s="235"/>
      <c r="C14" s="177"/>
      <c r="D14" s="37" t="s">
        <v>61</v>
      </c>
      <c r="E14" s="50">
        <v>42606.1</v>
      </c>
      <c r="F14" s="50">
        <v>3675</v>
      </c>
      <c r="G14" s="9">
        <v>40</v>
      </c>
      <c r="H14" s="28">
        <v>6</v>
      </c>
      <c r="I14" s="9">
        <f>379+15</f>
        <v>394</v>
      </c>
      <c r="J14" s="28">
        <v>108</v>
      </c>
      <c r="K14" s="59">
        <v>11290</v>
      </c>
      <c r="L14" s="151">
        <f>(E14-F14*1.05)*0.34</f>
        <v>13174.099</v>
      </c>
      <c r="M14" s="155" t="s">
        <v>84</v>
      </c>
      <c r="N14" s="155" t="s">
        <v>86</v>
      </c>
    </row>
    <row r="15" spans="2:14" ht="15.75" thickBot="1" x14ac:dyDescent="0.3">
      <c r="B15" s="236"/>
      <c r="C15" s="177"/>
      <c r="D15" s="37" t="s">
        <v>57</v>
      </c>
      <c r="E15" s="50">
        <v>-4574</v>
      </c>
      <c r="F15" s="50">
        <v>623</v>
      </c>
      <c r="G15" s="9">
        <v>60</v>
      </c>
      <c r="H15" s="28">
        <v>46</v>
      </c>
      <c r="I15" s="9">
        <v>-12</v>
      </c>
      <c r="J15" s="28">
        <v>450</v>
      </c>
      <c r="K15" s="59">
        <v>-1507</v>
      </c>
      <c r="L15" s="151">
        <f>(E15-F15*1.05)*0.34</f>
        <v>-1777.5709999999999</v>
      </c>
      <c r="M15" s="156" t="s">
        <v>82</v>
      </c>
      <c r="N15" s="155" t="s">
        <v>86</v>
      </c>
    </row>
    <row r="16" spans="2:14" x14ac:dyDescent="0.25">
      <c r="B16" s="234" t="s">
        <v>13</v>
      </c>
      <c r="C16" s="175"/>
      <c r="D16" s="7" t="s">
        <v>56</v>
      </c>
      <c r="E16" s="46">
        <v>102834</v>
      </c>
      <c r="F16" s="46">
        <v>9810</v>
      </c>
      <c r="G16" s="16">
        <v>158</v>
      </c>
      <c r="H16" s="7">
        <v>473</v>
      </c>
      <c r="I16" s="16">
        <v>567</v>
      </c>
      <c r="J16" s="7">
        <v>15050</v>
      </c>
      <c r="K16" s="55">
        <v>31600</v>
      </c>
      <c r="L16" s="159">
        <f>(E16-F16*1.05)*0.34</f>
        <v>31461.390000000003</v>
      </c>
      <c r="M16" s="155" t="s">
        <v>82</v>
      </c>
      <c r="N16" s="163" t="s">
        <v>86</v>
      </c>
    </row>
    <row r="17" spans="2:14" x14ac:dyDescent="0.25">
      <c r="B17" s="235"/>
      <c r="C17" s="169"/>
      <c r="D17" s="8" t="s">
        <v>58</v>
      </c>
      <c r="E17" s="47">
        <v>34243</v>
      </c>
      <c r="F17" s="47">
        <v>3461</v>
      </c>
      <c r="G17" s="11">
        <v>64</v>
      </c>
      <c r="H17" s="8">
        <v>0</v>
      </c>
      <c r="I17" s="11">
        <v>448</v>
      </c>
      <c r="J17" s="8">
        <v>0</v>
      </c>
      <c r="K17" s="56">
        <v>8927</v>
      </c>
      <c r="L17" s="160">
        <f>(E17-F17*1.05)*0.34</f>
        <v>10407.043000000001</v>
      </c>
      <c r="M17" s="155" t="s">
        <v>84</v>
      </c>
      <c r="N17" s="155" t="s">
        <v>87</v>
      </c>
    </row>
    <row r="18" spans="2:14" x14ac:dyDescent="0.25">
      <c r="B18" s="235"/>
      <c r="C18" s="169"/>
      <c r="D18" s="8" t="s">
        <v>59</v>
      </c>
      <c r="E18" s="47">
        <v>4420</v>
      </c>
      <c r="F18" s="47">
        <v>204</v>
      </c>
      <c r="G18" s="11">
        <v>0</v>
      </c>
      <c r="H18" s="8">
        <v>0</v>
      </c>
      <c r="I18" s="11">
        <v>16</v>
      </c>
      <c r="J18" s="8">
        <v>0</v>
      </c>
      <c r="K18" s="56">
        <v>1223</v>
      </c>
      <c r="L18" s="160">
        <f t="shared" ref="L18" si="1">(E18-F18)*0.34</f>
        <v>1433.44</v>
      </c>
      <c r="M18" s="155" t="s">
        <v>84</v>
      </c>
      <c r="N18" s="155" t="s">
        <v>87</v>
      </c>
    </row>
    <row r="19" spans="2:14" x14ac:dyDescent="0.25">
      <c r="B19" s="235"/>
      <c r="C19" s="178"/>
      <c r="D19" s="28" t="s">
        <v>60</v>
      </c>
      <c r="E19" s="50">
        <v>570000</v>
      </c>
      <c r="F19" s="50">
        <v>125752</v>
      </c>
      <c r="G19" s="9">
        <v>176</v>
      </c>
      <c r="H19" s="28">
        <v>36</v>
      </c>
      <c r="I19" s="9">
        <v>3332</v>
      </c>
      <c r="J19" s="28">
        <v>6090</v>
      </c>
      <c r="K19" s="59"/>
      <c r="L19" s="161">
        <f>(E19-F19*1.05)*0.34</f>
        <v>148906.53600000002</v>
      </c>
      <c r="M19" s="155" t="s">
        <v>83</v>
      </c>
      <c r="N19" s="155" t="s">
        <v>87</v>
      </c>
    </row>
    <row r="20" spans="2:14" ht="15.75" thickBot="1" x14ac:dyDescent="0.3">
      <c r="B20" s="236"/>
      <c r="C20" s="179"/>
      <c r="D20" s="29" t="s">
        <v>63</v>
      </c>
      <c r="E20" s="51">
        <v>103102</v>
      </c>
      <c r="F20" s="51">
        <v>6348</v>
      </c>
      <c r="G20" s="30">
        <v>134</v>
      </c>
      <c r="H20" s="29">
        <f>231+27</f>
        <v>258</v>
      </c>
      <c r="I20" s="30">
        <v>776</v>
      </c>
      <c r="J20" s="29">
        <v>11490</v>
      </c>
      <c r="K20" s="60">
        <v>28059</v>
      </c>
      <c r="L20" s="170">
        <f>(E20-F20*1.05)*0.34</f>
        <v>32788.444000000003</v>
      </c>
      <c r="M20" s="156" t="s">
        <v>84</v>
      </c>
      <c r="N20" s="156" t="s">
        <v>87</v>
      </c>
    </row>
    <row r="21" spans="2:14" x14ac:dyDescent="0.25">
      <c r="B21" s="234" t="s">
        <v>22</v>
      </c>
      <c r="C21" s="126"/>
      <c r="D21" s="28" t="s">
        <v>64</v>
      </c>
      <c r="E21" s="50">
        <v>20940</v>
      </c>
      <c r="F21" s="50">
        <v>0</v>
      </c>
      <c r="G21" s="9">
        <v>0</v>
      </c>
      <c r="H21" s="28">
        <v>0</v>
      </c>
      <c r="I21" s="9">
        <v>192</v>
      </c>
      <c r="J21" s="28">
        <v>0</v>
      </c>
      <c r="K21" s="59">
        <v>6073</v>
      </c>
      <c r="L21" s="125">
        <f t="shared" ref="L21" si="2">(E21-F21)*0.34</f>
        <v>7119.6</v>
      </c>
      <c r="M21" s="165" t="s">
        <v>83</v>
      </c>
      <c r="N21" s="165" t="s">
        <v>86</v>
      </c>
    </row>
    <row r="22" spans="2:14" x14ac:dyDescent="0.25">
      <c r="B22" s="235"/>
      <c r="C22" s="169"/>
      <c r="D22" s="8" t="s">
        <v>66</v>
      </c>
      <c r="E22" s="47">
        <v>4481</v>
      </c>
      <c r="F22" s="47">
        <v>344</v>
      </c>
      <c r="G22" s="11">
        <v>16</v>
      </c>
      <c r="H22" s="8">
        <v>24</v>
      </c>
      <c r="I22" s="11">
        <v>24</v>
      </c>
      <c r="J22" s="8">
        <v>595</v>
      </c>
      <c r="K22" s="56">
        <v>1200</v>
      </c>
      <c r="L22" s="122">
        <f>(E22-F22*1.05)*0.34</f>
        <v>1400.7320000000002</v>
      </c>
      <c r="M22" s="165" t="s">
        <v>84</v>
      </c>
      <c r="N22" s="165" t="s">
        <v>87</v>
      </c>
    </row>
    <row r="23" spans="2:14" ht="15.75" thickBot="1" x14ac:dyDescent="0.3">
      <c r="B23" s="236"/>
      <c r="C23" s="126"/>
      <c r="D23" s="28" t="s">
        <v>67</v>
      </c>
      <c r="E23" s="50">
        <v>25942</v>
      </c>
      <c r="F23" s="50">
        <v>8048</v>
      </c>
      <c r="G23" s="9">
        <v>0</v>
      </c>
      <c r="H23" s="28">
        <v>0</v>
      </c>
      <c r="I23" s="9">
        <v>232</v>
      </c>
      <c r="J23" s="28">
        <v>0</v>
      </c>
      <c r="K23" s="59">
        <v>5189</v>
      </c>
      <c r="L23" s="125">
        <f>(E23-F23*1.05)*0.34</f>
        <v>5947.1440000000002</v>
      </c>
      <c r="M23" s="171" t="s">
        <v>84</v>
      </c>
      <c r="N23" s="171" t="s">
        <v>87</v>
      </c>
    </row>
    <row r="24" spans="2:14" x14ac:dyDescent="0.25">
      <c r="B24" s="234" t="s">
        <v>21</v>
      </c>
      <c r="C24" s="180"/>
      <c r="D24" s="7" t="s">
        <v>68</v>
      </c>
      <c r="E24" s="46">
        <v>17500</v>
      </c>
      <c r="F24" s="46">
        <v>1946</v>
      </c>
      <c r="G24" s="16">
        <v>44</v>
      </c>
      <c r="H24" s="7">
        <v>108</v>
      </c>
      <c r="I24" s="16">
        <v>96</v>
      </c>
      <c r="J24" s="7">
        <v>4105</v>
      </c>
      <c r="K24" s="55">
        <v>4511</v>
      </c>
      <c r="L24" s="55">
        <f>(E24-F24*1.05)*0.34</f>
        <v>5255.2780000000002</v>
      </c>
      <c r="M24" s="155" t="s">
        <v>83</v>
      </c>
      <c r="N24" s="155" t="s">
        <v>87</v>
      </c>
    </row>
    <row r="25" spans="2:14" ht="15" customHeight="1" x14ac:dyDescent="0.25">
      <c r="B25" s="235"/>
      <c r="C25" s="154"/>
      <c r="D25" s="109" t="s">
        <v>69</v>
      </c>
      <c r="E25" s="50">
        <v>6770</v>
      </c>
      <c r="F25" s="50">
        <v>6220</v>
      </c>
      <c r="G25" s="9">
        <v>0</v>
      </c>
      <c r="H25" s="28">
        <v>0</v>
      </c>
      <c r="I25" s="9">
        <v>0</v>
      </c>
      <c r="J25" s="28">
        <v>0</v>
      </c>
      <c r="K25" s="59">
        <v>160</v>
      </c>
      <c r="L25" s="59">
        <v>160</v>
      </c>
      <c r="M25" s="155" t="s">
        <v>83</v>
      </c>
      <c r="N25" s="155" t="s">
        <v>87</v>
      </c>
    </row>
    <row r="26" spans="2:14" x14ac:dyDescent="0.25">
      <c r="B26" s="235"/>
      <c r="C26" s="181"/>
      <c r="D26" s="8" t="s">
        <v>79</v>
      </c>
      <c r="E26" s="47">
        <v>1997</v>
      </c>
      <c r="F26" s="47">
        <v>23</v>
      </c>
      <c r="G26" s="11">
        <v>8</v>
      </c>
      <c r="H26" s="8">
        <v>16</v>
      </c>
      <c r="I26" s="11">
        <v>16</v>
      </c>
      <c r="J26" s="8">
        <v>67</v>
      </c>
      <c r="K26" s="56">
        <v>572</v>
      </c>
      <c r="L26" s="56">
        <f>(E26-F26*1.05)*0.34</f>
        <v>670.76900000000001</v>
      </c>
      <c r="M26" s="155" t="s">
        <v>82</v>
      </c>
      <c r="N26" s="155" t="s">
        <v>87</v>
      </c>
    </row>
    <row r="27" spans="2:14" x14ac:dyDescent="0.25">
      <c r="B27" s="235"/>
      <c r="C27" s="181"/>
      <c r="D27" s="8" t="s">
        <v>70</v>
      </c>
      <c r="E27" s="47">
        <v>1350</v>
      </c>
      <c r="F27" s="47">
        <v>50</v>
      </c>
      <c r="G27" s="11">
        <v>4</v>
      </c>
      <c r="H27" s="8">
        <v>8</v>
      </c>
      <c r="I27" s="11">
        <v>16</v>
      </c>
      <c r="J27" s="8">
        <v>64</v>
      </c>
      <c r="K27" s="56">
        <v>377</v>
      </c>
      <c r="L27" s="56">
        <f>(E27-F27*1.05)*0.34</f>
        <v>441.15000000000003</v>
      </c>
      <c r="M27" s="155" t="s">
        <v>83</v>
      </c>
      <c r="N27" s="155" t="s">
        <v>87</v>
      </c>
    </row>
    <row r="28" spans="2:14" x14ac:dyDescent="0.25">
      <c r="B28" s="235"/>
      <c r="C28" s="181"/>
      <c r="D28" s="8" t="s">
        <v>71</v>
      </c>
      <c r="E28" s="47">
        <v>40451</v>
      </c>
      <c r="F28" s="47">
        <v>5439</v>
      </c>
      <c r="G28" s="11">
        <v>80</v>
      </c>
      <c r="H28" s="8">
        <v>0</v>
      </c>
      <c r="I28" s="11">
        <v>400</v>
      </c>
      <c r="J28" s="8">
        <v>0</v>
      </c>
      <c r="K28" s="56">
        <v>10153</v>
      </c>
      <c r="L28" s="56">
        <f>(E28-F28*1.05)*0.34</f>
        <v>11811.617000000002</v>
      </c>
      <c r="M28" s="155" t="s">
        <v>82</v>
      </c>
      <c r="N28" s="155" t="s">
        <v>86</v>
      </c>
    </row>
    <row r="29" spans="2:14" x14ac:dyDescent="0.25">
      <c r="B29" s="235"/>
      <c r="C29" s="154"/>
      <c r="D29" s="28" t="s">
        <v>72</v>
      </c>
      <c r="E29" s="50">
        <v>38591</v>
      </c>
      <c r="F29" s="50">
        <v>6306</v>
      </c>
      <c r="G29" s="9">
        <v>40</v>
      </c>
      <c r="H29" s="28">
        <v>0</v>
      </c>
      <c r="I29" s="9">
        <v>408</v>
      </c>
      <c r="J29" s="28">
        <v>0</v>
      </c>
      <c r="K29" s="59">
        <v>9363</v>
      </c>
      <c r="L29" s="56">
        <f t="shared" ref="L29" si="3">(E29-F29*1.05)*0.34</f>
        <v>10869.698</v>
      </c>
      <c r="M29" s="155" t="s">
        <v>84</v>
      </c>
      <c r="N29" s="155" t="s">
        <v>87</v>
      </c>
    </row>
    <row r="30" spans="2:14" ht="15.75" thickBot="1" x14ac:dyDescent="0.3">
      <c r="B30" s="236"/>
      <c r="C30" s="182"/>
      <c r="D30" s="14" t="s">
        <v>78</v>
      </c>
      <c r="E30" s="48">
        <v>29340</v>
      </c>
      <c r="F30" s="48">
        <v>0</v>
      </c>
      <c r="G30" s="13">
        <v>0</v>
      </c>
      <c r="H30" s="14">
        <v>0</v>
      </c>
      <c r="I30" s="13">
        <v>349</v>
      </c>
      <c r="J30" s="14">
        <v>0</v>
      </c>
      <c r="K30" s="57">
        <v>8509</v>
      </c>
      <c r="L30" s="57">
        <f>(E30-F30*1.05)*0.34</f>
        <v>9975.6</v>
      </c>
      <c r="M30" s="156" t="s">
        <v>84</v>
      </c>
      <c r="N30" s="156" t="s">
        <v>87</v>
      </c>
    </row>
    <row r="31" spans="2:14" x14ac:dyDescent="0.25">
      <c r="B31" s="234" t="s">
        <v>20</v>
      </c>
      <c r="C31" s="169"/>
      <c r="D31" s="8" t="s">
        <v>73</v>
      </c>
      <c r="E31" s="47">
        <v>51037.2</v>
      </c>
      <c r="F31" s="47">
        <v>9720</v>
      </c>
      <c r="G31" s="11">
        <v>68</v>
      </c>
      <c r="H31" s="8">
        <f>48+4</f>
        <v>52</v>
      </c>
      <c r="I31" s="11">
        <f>126+302</f>
        <v>428</v>
      </c>
      <c r="J31" s="8">
        <v>2345</v>
      </c>
      <c r="K31" s="113">
        <v>11982</v>
      </c>
      <c r="L31" s="122">
        <f>(E31-F31*1.05)*0.34</f>
        <v>13882.608</v>
      </c>
      <c r="M31" s="155" t="s">
        <v>84</v>
      </c>
      <c r="N31" s="155" t="s">
        <v>86</v>
      </c>
    </row>
    <row r="32" spans="2:14" x14ac:dyDescent="0.25">
      <c r="B32" s="235"/>
      <c r="C32" s="169"/>
      <c r="D32" s="8" t="s">
        <v>74</v>
      </c>
      <c r="E32" s="47">
        <v>2578.1</v>
      </c>
      <c r="F32" s="47">
        <v>0</v>
      </c>
      <c r="G32" s="11">
        <v>0</v>
      </c>
      <c r="H32" s="8">
        <v>0</v>
      </c>
      <c r="I32" s="11">
        <v>17</v>
      </c>
      <c r="J32" s="8">
        <v>0</v>
      </c>
      <c r="K32" s="113">
        <v>748</v>
      </c>
      <c r="L32" s="122">
        <f t="shared" ref="L32" si="4">(E32-F32)*0.34</f>
        <v>876.55400000000009</v>
      </c>
      <c r="M32" s="155" t="s">
        <v>84</v>
      </c>
      <c r="N32" s="155" t="s">
        <v>87</v>
      </c>
    </row>
    <row r="33" spans="2:14" x14ac:dyDescent="0.25">
      <c r="B33" s="235"/>
      <c r="C33" s="169"/>
      <c r="D33" s="8" t="s">
        <v>75</v>
      </c>
      <c r="E33" s="47">
        <v>8875</v>
      </c>
      <c r="F33" s="47">
        <v>827</v>
      </c>
      <c r="G33" s="11">
        <v>32</v>
      </c>
      <c r="H33" s="8">
        <v>64</v>
      </c>
      <c r="I33" s="11">
        <v>32</v>
      </c>
      <c r="J33" s="8">
        <v>1083</v>
      </c>
      <c r="K33" s="113">
        <v>2334</v>
      </c>
      <c r="L33" s="122">
        <f>(E33-F33*1.05)*0.34</f>
        <v>2722.261</v>
      </c>
      <c r="M33" s="155" t="s">
        <v>84</v>
      </c>
      <c r="N33" s="155" t="s">
        <v>86</v>
      </c>
    </row>
    <row r="34" spans="2:14" x14ac:dyDescent="0.25">
      <c r="B34" s="235"/>
      <c r="C34" s="169"/>
      <c r="D34" s="8" t="s">
        <v>77</v>
      </c>
      <c r="E34" s="47">
        <v>145000</v>
      </c>
      <c r="F34" s="47">
        <v>26556</v>
      </c>
      <c r="G34" s="11">
        <v>166</v>
      </c>
      <c r="H34" s="8">
        <v>0</v>
      </c>
      <c r="I34" s="11">
        <v>718</v>
      </c>
      <c r="J34" s="8">
        <v>0</v>
      </c>
      <c r="K34" s="113">
        <v>35895.25</v>
      </c>
      <c r="L34" s="122">
        <f>(E34-F34*1.05)*0.34</f>
        <v>39819.508000000002</v>
      </c>
      <c r="M34" s="155" t="s">
        <v>82</v>
      </c>
      <c r="N34" s="155" t="s">
        <v>87</v>
      </c>
    </row>
    <row r="35" spans="2:14" x14ac:dyDescent="0.25">
      <c r="B35" s="235"/>
      <c r="C35" s="169"/>
      <c r="D35" s="8" t="s">
        <v>76</v>
      </c>
      <c r="E35" s="47">
        <v>9000</v>
      </c>
      <c r="F35" s="47">
        <v>8099</v>
      </c>
      <c r="G35" s="11">
        <v>0</v>
      </c>
      <c r="H35" s="8">
        <v>0</v>
      </c>
      <c r="I35" s="11">
        <v>0</v>
      </c>
      <c r="J35" s="8">
        <v>0</v>
      </c>
      <c r="K35" s="113">
        <v>261</v>
      </c>
      <c r="L35" s="122">
        <f>(E35-F35*1.1)*0.34</f>
        <v>30.973999999999506</v>
      </c>
      <c r="M35" s="155" t="s">
        <v>84</v>
      </c>
      <c r="N35" s="155" t="s">
        <v>86</v>
      </c>
    </row>
    <row r="36" spans="2:14" x14ac:dyDescent="0.25">
      <c r="B36" s="235"/>
      <c r="C36" s="169"/>
      <c r="D36" s="8" t="s">
        <v>80</v>
      </c>
      <c r="E36" s="47">
        <v>54259</v>
      </c>
      <c r="F36" s="47">
        <v>22006</v>
      </c>
      <c r="G36" s="11">
        <v>72</v>
      </c>
      <c r="H36" s="8">
        <v>203</v>
      </c>
      <c r="I36" s="11">
        <v>217</v>
      </c>
      <c r="J36" s="8">
        <v>8000</v>
      </c>
      <c r="K36" s="113">
        <v>9353</v>
      </c>
      <c r="L36" s="122">
        <f>(E36-F36*1.03)*0.32</f>
        <v>10109.7024</v>
      </c>
      <c r="M36" s="155" t="s">
        <v>84</v>
      </c>
      <c r="N36" s="155" t="s">
        <v>87</v>
      </c>
    </row>
    <row r="37" spans="2:14" x14ac:dyDescent="0.25">
      <c r="B37" s="235"/>
      <c r="C37" s="169"/>
      <c r="D37" s="8" t="s">
        <v>89</v>
      </c>
      <c r="E37" s="47">
        <v>160500</v>
      </c>
      <c r="F37" s="47">
        <v>53075</v>
      </c>
      <c r="G37" s="11">
        <v>300</v>
      </c>
      <c r="H37" s="8">
        <v>631</v>
      </c>
      <c r="I37" s="11">
        <v>593</v>
      </c>
      <c r="J37" s="8">
        <v>22000</v>
      </c>
      <c r="K37" s="113">
        <v>31153</v>
      </c>
      <c r="L37" s="122">
        <f>(E37-F37*1.03)*0.32</f>
        <v>33866.480000000003</v>
      </c>
      <c r="M37" s="155" t="s">
        <v>82</v>
      </c>
      <c r="N37" s="155" t="s">
        <v>87</v>
      </c>
    </row>
    <row r="38" spans="2:14" ht="15.75" thickBot="1" x14ac:dyDescent="0.3">
      <c r="B38" s="236"/>
      <c r="C38" s="183"/>
      <c r="D38" s="14" t="s">
        <v>90</v>
      </c>
      <c r="E38" s="48">
        <v>20290.3</v>
      </c>
      <c r="F38" s="48">
        <v>0</v>
      </c>
      <c r="G38" s="13">
        <v>40</v>
      </c>
      <c r="H38" s="14">
        <v>0</v>
      </c>
      <c r="I38" s="13">
        <v>154</v>
      </c>
      <c r="J38" s="14">
        <v>0</v>
      </c>
      <c r="K38" s="114">
        <v>5884</v>
      </c>
      <c r="L38" s="172">
        <f>(E38-F38*1.05)*0.34</f>
        <v>6898.7020000000002</v>
      </c>
      <c r="M38" s="156" t="s">
        <v>82</v>
      </c>
      <c r="N38" s="156" t="s">
        <v>87</v>
      </c>
    </row>
    <row r="39" spans="2:14" x14ac:dyDescent="0.25">
      <c r="B39" s="234" t="s">
        <v>19</v>
      </c>
      <c r="C39" s="169"/>
      <c r="D39" s="8" t="s">
        <v>92</v>
      </c>
      <c r="E39" s="47">
        <v>6319.6</v>
      </c>
      <c r="F39" s="47">
        <v>493</v>
      </c>
      <c r="G39" s="11">
        <v>8</v>
      </c>
      <c r="H39" s="8">
        <v>3</v>
      </c>
      <c r="I39" s="11">
        <v>72</v>
      </c>
      <c r="J39" s="8">
        <v>60</v>
      </c>
      <c r="K39" s="113">
        <v>1690</v>
      </c>
      <c r="L39" s="122">
        <f>(E39-F39)*0.34</f>
        <v>1981.0440000000003</v>
      </c>
      <c r="M39" s="155" t="s">
        <v>84</v>
      </c>
      <c r="N39" s="155" t="s">
        <v>87</v>
      </c>
    </row>
    <row r="40" spans="2:14" ht="15" customHeight="1" x14ac:dyDescent="0.25">
      <c r="B40" s="235"/>
      <c r="C40" s="169"/>
      <c r="D40" s="8" t="s">
        <v>101</v>
      </c>
      <c r="E40" s="47">
        <v>1579</v>
      </c>
      <c r="F40" s="47">
        <v>263</v>
      </c>
      <c r="G40" s="11">
        <v>0</v>
      </c>
      <c r="H40" s="8">
        <v>8</v>
      </c>
      <c r="I40" s="11">
        <v>1</v>
      </c>
      <c r="J40" s="8">
        <v>100</v>
      </c>
      <c r="K40" s="113">
        <v>382</v>
      </c>
      <c r="L40" s="122">
        <f t="shared" ref="L40:L52" si="5">(E40-F40)*0.34</f>
        <v>447.44000000000005</v>
      </c>
      <c r="M40" s="155" t="s">
        <v>84</v>
      </c>
      <c r="N40" s="155" t="s">
        <v>87</v>
      </c>
    </row>
    <row r="41" spans="2:14" x14ac:dyDescent="0.25">
      <c r="B41" s="235"/>
      <c r="C41" s="169"/>
      <c r="D41" s="8" t="s">
        <v>117</v>
      </c>
      <c r="E41" s="47">
        <v>9666</v>
      </c>
      <c r="F41" s="47">
        <v>771</v>
      </c>
      <c r="G41" s="11">
        <v>34</v>
      </c>
      <c r="H41" s="8">
        <v>144</v>
      </c>
      <c r="I41" s="11">
        <v>48</v>
      </c>
      <c r="J41" s="8">
        <v>1750</v>
      </c>
      <c r="K41" s="113">
        <v>3119</v>
      </c>
      <c r="L41" s="122">
        <f t="shared" si="5"/>
        <v>3024.3</v>
      </c>
      <c r="M41" s="155" t="s">
        <v>84</v>
      </c>
      <c r="N41" s="155" t="s">
        <v>87</v>
      </c>
    </row>
    <row r="42" spans="2:14" x14ac:dyDescent="0.25">
      <c r="B42" s="235"/>
      <c r="C42" s="169"/>
      <c r="D42" s="8" t="s">
        <v>98</v>
      </c>
      <c r="E42" s="47">
        <v>7000</v>
      </c>
      <c r="F42" s="47">
        <v>2259</v>
      </c>
      <c r="G42" s="11">
        <v>10</v>
      </c>
      <c r="H42" s="8">
        <v>40</v>
      </c>
      <c r="I42" s="11">
        <v>40</v>
      </c>
      <c r="J42" s="8">
        <v>1870</v>
      </c>
      <c r="K42" s="113">
        <v>1375</v>
      </c>
      <c r="L42" s="122">
        <f t="shared" si="5"/>
        <v>1611.94</v>
      </c>
      <c r="M42" s="155" t="s">
        <v>107</v>
      </c>
      <c r="N42" s="155" t="s">
        <v>87</v>
      </c>
    </row>
    <row r="43" spans="2:14" x14ac:dyDescent="0.25">
      <c r="B43" s="235"/>
      <c r="C43" s="169"/>
      <c r="D43" s="8" t="s">
        <v>99</v>
      </c>
      <c r="E43" s="47">
        <v>3232</v>
      </c>
      <c r="F43" s="47">
        <v>950</v>
      </c>
      <c r="G43" s="11">
        <v>0</v>
      </c>
      <c r="H43" s="8">
        <v>0</v>
      </c>
      <c r="I43" s="11">
        <v>16</v>
      </c>
      <c r="J43" s="8">
        <v>0</v>
      </c>
      <c r="K43" s="166" t="s">
        <v>100</v>
      </c>
      <c r="L43" s="122">
        <f t="shared" si="5"/>
        <v>775.88000000000011</v>
      </c>
      <c r="M43" s="155" t="s">
        <v>107</v>
      </c>
      <c r="N43" s="155" t="s">
        <v>87</v>
      </c>
    </row>
    <row r="44" spans="2:14" x14ac:dyDescent="0.25">
      <c r="B44" s="235"/>
      <c r="C44" s="169"/>
      <c r="D44" s="8" t="s">
        <v>93</v>
      </c>
      <c r="E44" s="47">
        <v>2961</v>
      </c>
      <c r="F44" s="47">
        <v>149</v>
      </c>
      <c r="G44" s="11">
        <v>12</v>
      </c>
      <c r="H44" s="8">
        <v>18</v>
      </c>
      <c r="I44" s="11">
        <v>16</v>
      </c>
      <c r="J44" s="8">
        <v>300</v>
      </c>
      <c r="K44" s="113">
        <v>815</v>
      </c>
      <c r="L44" s="122">
        <f t="shared" si="5"/>
        <v>956.08</v>
      </c>
      <c r="M44" s="155" t="s">
        <v>84</v>
      </c>
      <c r="N44" s="155" t="s">
        <v>87</v>
      </c>
    </row>
    <row r="45" spans="2:14" x14ac:dyDescent="0.25">
      <c r="B45" s="235"/>
      <c r="C45" s="169"/>
      <c r="D45" s="8" t="s">
        <v>94</v>
      </c>
      <c r="E45" s="47">
        <v>440</v>
      </c>
      <c r="F45" s="47">
        <v>0</v>
      </c>
      <c r="G45" s="11">
        <v>0</v>
      </c>
      <c r="H45" s="8">
        <v>8</v>
      </c>
      <c r="I45" s="11">
        <v>0</v>
      </c>
      <c r="J45" s="8">
        <v>150</v>
      </c>
      <c r="K45" s="113">
        <v>128</v>
      </c>
      <c r="L45" s="122">
        <f t="shared" si="5"/>
        <v>149.60000000000002</v>
      </c>
      <c r="M45" s="155" t="s">
        <v>84</v>
      </c>
      <c r="N45" s="155" t="s">
        <v>87</v>
      </c>
    </row>
    <row r="46" spans="2:14" x14ac:dyDescent="0.25">
      <c r="B46" s="235"/>
      <c r="C46" s="169"/>
      <c r="D46" s="8" t="s">
        <v>95</v>
      </c>
      <c r="E46" s="47">
        <v>390</v>
      </c>
      <c r="F46" s="47">
        <v>0</v>
      </c>
      <c r="G46" s="11">
        <v>0</v>
      </c>
      <c r="H46" s="8">
        <v>0</v>
      </c>
      <c r="I46" s="11">
        <v>8</v>
      </c>
      <c r="J46" s="8">
        <v>0</v>
      </c>
      <c r="K46" s="113">
        <v>113</v>
      </c>
      <c r="L46" s="122">
        <f t="shared" si="5"/>
        <v>132.60000000000002</v>
      </c>
      <c r="M46" s="155" t="s">
        <v>84</v>
      </c>
      <c r="N46" s="155" t="s">
        <v>87</v>
      </c>
    </row>
    <row r="47" spans="2:14" x14ac:dyDescent="0.25">
      <c r="B47" s="235"/>
      <c r="C47" s="169"/>
      <c r="D47" s="8" t="s">
        <v>96</v>
      </c>
      <c r="E47" s="47">
        <v>81692.2</v>
      </c>
      <c r="F47" s="47">
        <v>16365</v>
      </c>
      <c r="G47" s="11">
        <v>160</v>
      </c>
      <c r="H47" s="8">
        <v>351</v>
      </c>
      <c r="I47" s="11">
        <v>840</v>
      </c>
      <c r="J47" s="8">
        <v>7400</v>
      </c>
      <c r="K47" s="113">
        <v>18945</v>
      </c>
      <c r="L47" s="122">
        <f t="shared" si="5"/>
        <v>22211.248</v>
      </c>
      <c r="M47" s="155" t="s">
        <v>84</v>
      </c>
      <c r="N47" s="155" t="s">
        <v>86</v>
      </c>
    </row>
    <row r="48" spans="2:14" x14ac:dyDescent="0.25">
      <c r="B48" s="235"/>
      <c r="C48" s="169"/>
      <c r="D48" s="8" t="s">
        <v>97</v>
      </c>
      <c r="E48" s="47">
        <v>5970</v>
      </c>
      <c r="F48" s="47">
        <v>1178</v>
      </c>
      <c r="G48" s="11">
        <v>32</v>
      </c>
      <c r="H48" s="8">
        <v>16</v>
      </c>
      <c r="I48" s="11">
        <v>48</v>
      </c>
      <c r="J48" s="8">
        <v>330</v>
      </c>
      <c r="K48" s="113">
        <v>1390</v>
      </c>
      <c r="L48" s="122">
        <f t="shared" si="5"/>
        <v>1629.2800000000002</v>
      </c>
      <c r="M48" s="155" t="s">
        <v>82</v>
      </c>
      <c r="N48" s="155" t="s">
        <v>86</v>
      </c>
    </row>
    <row r="49" spans="2:14" x14ac:dyDescent="0.25">
      <c r="B49" s="235"/>
      <c r="C49" s="169"/>
      <c r="D49" s="8" t="s">
        <v>102</v>
      </c>
      <c r="E49" s="47">
        <v>509</v>
      </c>
      <c r="F49" s="47">
        <v>-738</v>
      </c>
      <c r="G49" s="11">
        <v>0</v>
      </c>
      <c r="H49" s="8">
        <v>0</v>
      </c>
      <c r="I49" s="11">
        <v>-14</v>
      </c>
      <c r="J49" s="8">
        <v>-60</v>
      </c>
      <c r="K49" s="113">
        <v>362</v>
      </c>
      <c r="L49" s="122">
        <f t="shared" si="5"/>
        <v>423.98</v>
      </c>
      <c r="M49" s="155" t="s">
        <v>82</v>
      </c>
      <c r="N49" s="155" t="s">
        <v>86</v>
      </c>
    </row>
    <row r="50" spans="2:14" x14ac:dyDescent="0.25">
      <c r="B50" s="235"/>
      <c r="C50" s="169"/>
      <c r="D50" s="8" t="s">
        <v>105</v>
      </c>
      <c r="E50" s="47">
        <v>1600</v>
      </c>
      <c r="F50" s="47">
        <v>90</v>
      </c>
      <c r="G50" s="11">
        <v>4</v>
      </c>
      <c r="H50" s="8">
        <v>16</v>
      </c>
      <c r="I50" s="11">
        <v>16</v>
      </c>
      <c r="J50" s="8">
        <v>120</v>
      </c>
      <c r="K50" s="113">
        <v>438</v>
      </c>
      <c r="L50" s="122">
        <f t="shared" si="5"/>
        <v>513.40000000000009</v>
      </c>
      <c r="M50" s="155" t="s">
        <v>82</v>
      </c>
      <c r="N50" s="155" t="s">
        <v>86</v>
      </c>
    </row>
    <row r="51" spans="2:14" x14ac:dyDescent="0.25">
      <c r="B51" s="235"/>
      <c r="C51" s="169"/>
      <c r="D51" s="8" t="s">
        <v>103</v>
      </c>
      <c r="E51" s="47">
        <v>660</v>
      </c>
      <c r="F51" s="47">
        <v>95</v>
      </c>
      <c r="G51" s="11">
        <v>0</v>
      </c>
      <c r="H51" s="8">
        <v>0</v>
      </c>
      <c r="I51" s="11">
        <v>16</v>
      </c>
      <c r="J51" s="8">
        <v>0</v>
      </c>
      <c r="K51" s="113">
        <v>164</v>
      </c>
      <c r="L51" s="122">
        <f t="shared" si="5"/>
        <v>192.10000000000002</v>
      </c>
      <c r="M51" s="155" t="s">
        <v>108</v>
      </c>
      <c r="N51" s="155" t="s">
        <v>86</v>
      </c>
    </row>
    <row r="52" spans="2:14" ht="15.75" thickBot="1" x14ac:dyDescent="0.3">
      <c r="B52" s="236"/>
      <c r="C52" s="183"/>
      <c r="D52" s="14" t="s">
        <v>104</v>
      </c>
      <c r="E52" s="48">
        <v>783</v>
      </c>
      <c r="F52" s="48">
        <v>765</v>
      </c>
      <c r="G52" s="13">
        <v>0</v>
      </c>
      <c r="H52" s="14">
        <v>0</v>
      </c>
      <c r="I52" s="13">
        <v>0</v>
      </c>
      <c r="J52" s="14">
        <v>0</v>
      </c>
      <c r="K52" s="114">
        <v>5</v>
      </c>
      <c r="L52" s="172">
        <f t="shared" si="5"/>
        <v>6.12</v>
      </c>
      <c r="M52" s="156" t="s">
        <v>84</v>
      </c>
      <c r="N52" s="156" t="s">
        <v>87</v>
      </c>
    </row>
    <row r="53" spans="2:14" x14ac:dyDescent="0.25">
      <c r="B53" s="235" t="s">
        <v>123</v>
      </c>
      <c r="C53" s="169"/>
      <c r="D53" s="8" t="s">
        <v>106</v>
      </c>
      <c r="E53" s="47">
        <v>2887</v>
      </c>
      <c r="F53" s="47">
        <v>54</v>
      </c>
      <c r="G53" s="11">
        <v>8</v>
      </c>
      <c r="H53" s="8">
        <v>24</v>
      </c>
      <c r="I53" s="11">
        <v>24</v>
      </c>
      <c r="J53" s="8">
        <v>120</v>
      </c>
      <c r="K53" s="113">
        <v>822</v>
      </c>
      <c r="L53" s="122">
        <f t="shared" ref="L53:L61" si="6">(E53-F53)*0.34</f>
        <v>963.22</v>
      </c>
      <c r="M53" s="155" t="s">
        <v>82</v>
      </c>
      <c r="N53" s="155" t="s">
        <v>86</v>
      </c>
    </row>
    <row r="54" spans="2:14" x14ac:dyDescent="0.25">
      <c r="B54" s="235"/>
      <c r="C54" s="169"/>
      <c r="D54" s="8" t="s">
        <v>109</v>
      </c>
      <c r="E54" s="47">
        <v>5884</v>
      </c>
      <c r="F54" s="47">
        <v>2820</v>
      </c>
      <c r="G54" s="11">
        <v>4</v>
      </c>
      <c r="H54" s="8">
        <v>8</v>
      </c>
      <c r="I54" s="11">
        <v>19</v>
      </c>
      <c r="J54" s="8">
        <v>170</v>
      </c>
      <c r="K54" s="113">
        <v>888</v>
      </c>
      <c r="L54" s="122">
        <f t="shared" si="6"/>
        <v>1041.76</v>
      </c>
      <c r="M54" s="155" t="s">
        <v>83</v>
      </c>
      <c r="N54" s="155" t="s">
        <v>87</v>
      </c>
    </row>
    <row r="55" spans="2:14" x14ac:dyDescent="0.25">
      <c r="B55" s="235"/>
      <c r="C55" s="169"/>
      <c r="D55" s="8" t="s">
        <v>110</v>
      </c>
      <c r="E55" s="47">
        <v>108361</v>
      </c>
      <c r="F55" s="47">
        <v>7936</v>
      </c>
      <c r="G55" s="11">
        <v>133</v>
      </c>
      <c r="H55" s="8">
        <v>430</v>
      </c>
      <c r="I55" s="11">
        <v>765</v>
      </c>
      <c r="J55" s="8">
        <v>18760</v>
      </c>
      <c r="K55" s="113">
        <v>29123</v>
      </c>
      <c r="L55" s="122">
        <f t="shared" si="6"/>
        <v>34144.5</v>
      </c>
      <c r="M55" s="155" t="s">
        <v>83</v>
      </c>
      <c r="N55" s="155" t="s">
        <v>87</v>
      </c>
    </row>
    <row r="56" spans="2:14" x14ac:dyDescent="0.25">
      <c r="B56" s="235"/>
      <c r="C56" s="169"/>
      <c r="D56" s="8" t="s">
        <v>111</v>
      </c>
      <c r="E56" s="47">
        <v>95012</v>
      </c>
      <c r="F56" s="47">
        <v>34713</v>
      </c>
      <c r="G56" s="11">
        <v>104</v>
      </c>
      <c r="H56" s="8">
        <v>178</v>
      </c>
      <c r="I56" s="11">
        <v>457</v>
      </c>
      <c r="J56" s="8">
        <v>8420</v>
      </c>
      <c r="K56" s="113">
        <v>17487</v>
      </c>
      <c r="L56" s="122">
        <f t="shared" si="6"/>
        <v>20501.66</v>
      </c>
      <c r="M56" s="155" t="s">
        <v>83</v>
      </c>
      <c r="N56" s="155" t="s">
        <v>87</v>
      </c>
    </row>
    <row r="57" spans="2:14" x14ac:dyDescent="0.25">
      <c r="B57" s="235"/>
      <c r="C57" s="169"/>
      <c r="D57" s="8" t="s">
        <v>112</v>
      </c>
      <c r="E57" s="47">
        <v>67052</v>
      </c>
      <c r="F57" s="47">
        <v>20450</v>
      </c>
      <c r="G57" s="11">
        <v>76</v>
      </c>
      <c r="H57" s="8">
        <v>0</v>
      </c>
      <c r="I57" s="11">
        <v>360</v>
      </c>
      <c r="J57" s="8">
        <v>0</v>
      </c>
      <c r="K57" s="113">
        <v>13515</v>
      </c>
      <c r="L57" s="122">
        <f t="shared" si="6"/>
        <v>15844.68</v>
      </c>
      <c r="M57" s="155" t="s">
        <v>82</v>
      </c>
      <c r="N57" s="155" t="s">
        <v>87</v>
      </c>
    </row>
    <row r="58" spans="2:14" x14ac:dyDescent="0.25">
      <c r="B58" s="235"/>
      <c r="C58" s="169"/>
      <c r="D58" s="8" t="s">
        <v>113</v>
      </c>
      <c r="E58" s="47">
        <v>47700</v>
      </c>
      <c r="F58" s="47">
        <v>7263</v>
      </c>
      <c r="G58" s="11">
        <v>21</v>
      </c>
      <c r="H58" s="8">
        <f>311+67</f>
        <v>378</v>
      </c>
      <c r="I58" s="11">
        <v>0</v>
      </c>
      <c r="J58" s="8">
        <v>33380</v>
      </c>
      <c r="K58" s="113">
        <v>11727</v>
      </c>
      <c r="L58" s="122">
        <f t="shared" si="6"/>
        <v>13748.580000000002</v>
      </c>
      <c r="M58" s="155" t="s">
        <v>84</v>
      </c>
      <c r="N58" s="155" t="s">
        <v>87</v>
      </c>
    </row>
    <row r="59" spans="2:14" x14ac:dyDescent="0.25">
      <c r="B59" s="235"/>
      <c r="C59" s="169"/>
      <c r="D59" s="8" t="s">
        <v>114</v>
      </c>
      <c r="E59" s="47">
        <v>50327</v>
      </c>
      <c r="F59" s="47">
        <v>3073</v>
      </c>
      <c r="G59" s="11">
        <v>100</v>
      </c>
      <c r="H59" s="8">
        <f>155+18</f>
        <v>173</v>
      </c>
      <c r="I59" s="11">
        <v>305</v>
      </c>
      <c r="J59" s="8">
        <v>9190</v>
      </c>
      <c r="K59" s="113">
        <v>13704</v>
      </c>
      <c r="L59" s="122">
        <f t="shared" si="6"/>
        <v>16066.36</v>
      </c>
      <c r="M59" s="155" t="s">
        <v>84</v>
      </c>
      <c r="N59" s="155" t="s">
        <v>87</v>
      </c>
    </row>
    <row r="60" spans="2:14" x14ac:dyDescent="0.25">
      <c r="B60" s="235"/>
      <c r="C60" s="178"/>
      <c r="D60" s="28" t="s">
        <v>115</v>
      </c>
      <c r="E60" s="50">
        <v>12678</v>
      </c>
      <c r="F60" s="50">
        <v>0</v>
      </c>
      <c r="G60" s="9">
        <v>20</v>
      </c>
      <c r="H60" s="28">
        <v>0</v>
      </c>
      <c r="I60" s="9">
        <f>36+54</f>
        <v>90</v>
      </c>
      <c r="J60" s="28">
        <v>0</v>
      </c>
      <c r="K60" s="167">
        <v>3676</v>
      </c>
      <c r="L60" s="125">
        <f t="shared" si="6"/>
        <v>4310.5200000000004</v>
      </c>
      <c r="M60" s="165" t="s">
        <v>82</v>
      </c>
      <c r="N60" s="165" t="s">
        <v>87</v>
      </c>
    </row>
    <row r="61" spans="2:14" ht="15.75" thickBot="1" x14ac:dyDescent="0.3">
      <c r="B61" s="236"/>
      <c r="C61" s="179"/>
      <c r="D61" s="29" t="s">
        <v>116</v>
      </c>
      <c r="E61" s="51">
        <v>680</v>
      </c>
      <c r="F61" s="51">
        <v>0</v>
      </c>
      <c r="G61" s="30">
        <v>0</v>
      </c>
      <c r="H61" s="29">
        <v>0</v>
      </c>
      <c r="I61" s="30">
        <v>16</v>
      </c>
      <c r="J61" s="29">
        <v>0</v>
      </c>
      <c r="K61" s="173">
        <v>197</v>
      </c>
      <c r="L61" s="174">
        <f t="shared" si="6"/>
        <v>231.20000000000002</v>
      </c>
      <c r="M61" s="171" t="s">
        <v>107</v>
      </c>
      <c r="N61" s="171" t="s">
        <v>86</v>
      </c>
    </row>
  </sheetData>
  <autoFilter ref="C3:N61"/>
  <mergeCells count="8">
    <mergeCell ref="B31:B38"/>
    <mergeCell ref="B39:B52"/>
    <mergeCell ref="B53:B61"/>
    <mergeCell ref="B4:B9"/>
    <mergeCell ref="B10:B15"/>
    <mergeCell ref="B16:B20"/>
    <mergeCell ref="B21:B23"/>
    <mergeCell ref="B24:B3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Récap</vt:lpstr>
      <vt:lpstr>Mai </vt:lpstr>
      <vt:lpstr>Juin</vt:lpstr>
      <vt:lpstr>Juillet</vt:lpstr>
      <vt:lpstr>Aout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Total affaires</vt:lpstr>
      <vt:lpstr>Récap!Zone_d_impression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UTILISATEUR</cp:lastModifiedBy>
  <cp:lastPrinted>2017-01-02T13:43:53Z</cp:lastPrinted>
  <dcterms:created xsi:type="dcterms:W3CDTF">2015-03-30T12:10:46Z</dcterms:created>
  <dcterms:modified xsi:type="dcterms:W3CDTF">2017-02-03T14:07:12Z</dcterms:modified>
</cp:coreProperties>
</file>